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Gemensamt\Bostad\Nedre Karlslundsvägen\Energi\"/>
    </mc:Choice>
  </mc:AlternateContent>
  <bookViews>
    <workbookView xWindow="0" yWindow="0" windowWidth="18700" windowHeight="7730"/>
  </bookViews>
  <sheets>
    <sheet name="Energiberäkning" sheetId="2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2" l="1"/>
  <c r="E12" i="2"/>
  <c r="B3" i="2" s="1"/>
  <c r="B4" i="2" s="1"/>
  <c r="Y20" i="2"/>
  <c r="Y21" i="2"/>
  <c r="AC25" i="2"/>
  <c r="AB29" i="2"/>
  <c r="K82" i="2"/>
  <c r="I82" i="2"/>
  <c r="H82" i="2"/>
  <c r="F82" i="2"/>
  <c r="G82" i="2" s="1"/>
  <c r="D82" i="2"/>
  <c r="K81" i="2"/>
  <c r="I81" i="2"/>
  <c r="H81" i="2"/>
  <c r="F81" i="2"/>
  <c r="G81" i="2" s="1"/>
  <c r="D81" i="2"/>
  <c r="K80" i="2"/>
  <c r="I80" i="2"/>
  <c r="H80" i="2"/>
  <c r="F80" i="2"/>
  <c r="G80" i="2" s="1"/>
  <c r="D80" i="2"/>
  <c r="K79" i="2"/>
  <c r="I79" i="2"/>
  <c r="H79" i="2"/>
  <c r="F79" i="2"/>
  <c r="G79" i="2" s="1"/>
  <c r="D79" i="2"/>
  <c r="K78" i="2"/>
  <c r="I78" i="2"/>
  <c r="H78" i="2"/>
  <c r="F78" i="2"/>
  <c r="G78" i="2" s="1"/>
  <c r="D78" i="2"/>
  <c r="K77" i="2"/>
  <c r="I77" i="2"/>
  <c r="H77" i="2"/>
  <c r="F77" i="2"/>
  <c r="G77" i="2" s="1"/>
  <c r="D77" i="2"/>
  <c r="K76" i="2"/>
  <c r="I76" i="2"/>
  <c r="H76" i="2"/>
  <c r="F76" i="2"/>
  <c r="G76" i="2" s="1"/>
  <c r="D76" i="2"/>
  <c r="K75" i="2"/>
  <c r="I75" i="2"/>
  <c r="H75" i="2"/>
  <c r="F75" i="2"/>
  <c r="G75" i="2" s="1"/>
  <c r="D75" i="2"/>
  <c r="K74" i="2"/>
  <c r="I74" i="2"/>
  <c r="H74" i="2"/>
  <c r="F74" i="2"/>
  <c r="G74" i="2" s="1"/>
  <c r="D74" i="2"/>
  <c r="K73" i="2"/>
  <c r="I73" i="2"/>
  <c r="H73" i="2"/>
  <c r="F73" i="2"/>
  <c r="G73" i="2" s="1"/>
  <c r="D73" i="2"/>
  <c r="K72" i="2"/>
  <c r="I72" i="2"/>
  <c r="H72" i="2"/>
  <c r="F72" i="2"/>
  <c r="G72" i="2" s="1"/>
  <c r="D72" i="2"/>
  <c r="K71" i="2"/>
  <c r="I71" i="2"/>
  <c r="H71" i="2"/>
  <c r="F71" i="2"/>
  <c r="G71" i="2" s="1"/>
  <c r="D71" i="2"/>
  <c r="K70" i="2"/>
  <c r="I70" i="2"/>
  <c r="H70" i="2"/>
  <c r="F70" i="2"/>
  <c r="G70" i="2" s="1"/>
  <c r="D70" i="2"/>
  <c r="K69" i="2"/>
  <c r="I69" i="2"/>
  <c r="H69" i="2"/>
  <c r="F69" i="2"/>
  <c r="G69" i="2" s="1"/>
  <c r="D69" i="2"/>
  <c r="K68" i="2"/>
  <c r="I68" i="2"/>
  <c r="H68" i="2"/>
  <c r="F68" i="2"/>
  <c r="G68" i="2" s="1"/>
  <c r="D68" i="2"/>
  <c r="K67" i="2"/>
  <c r="I67" i="2"/>
  <c r="H67" i="2"/>
  <c r="F67" i="2"/>
  <c r="G67" i="2" s="1"/>
  <c r="D67" i="2"/>
  <c r="K66" i="2"/>
  <c r="I66" i="2"/>
  <c r="H66" i="2"/>
  <c r="F66" i="2"/>
  <c r="G66" i="2" s="1"/>
  <c r="D66" i="2"/>
  <c r="K65" i="2"/>
  <c r="I65" i="2"/>
  <c r="H65" i="2"/>
  <c r="F65" i="2"/>
  <c r="G65" i="2" s="1"/>
  <c r="D65" i="2"/>
  <c r="K64" i="2"/>
  <c r="I64" i="2"/>
  <c r="H64" i="2"/>
  <c r="F64" i="2"/>
  <c r="G64" i="2" s="1"/>
  <c r="D64" i="2"/>
  <c r="K63" i="2"/>
  <c r="I63" i="2"/>
  <c r="H63" i="2"/>
  <c r="F63" i="2"/>
  <c r="G63" i="2" s="1"/>
  <c r="D63" i="2"/>
  <c r="K62" i="2"/>
  <c r="I62" i="2"/>
  <c r="H62" i="2"/>
  <c r="F62" i="2"/>
  <c r="G62" i="2" s="1"/>
  <c r="D62" i="2"/>
  <c r="K61" i="2"/>
  <c r="I61" i="2"/>
  <c r="H61" i="2"/>
  <c r="F61" i="2"/>
  <c r="G61" i="2" s="1"/>
  <c r="D61" i="2"/>
  <c r="K60" i="2"/>
  <c r="I60" i="2"/>
  <c r="H60" i="2"/>
  <c r="F60" i="2"/>
  <c r="G60" i="2" s="1"/>
  <c r="D60" i="2"/>
  <c r="K59" i="2"/>
  <c r="I59" i="2"/>
  <c r="H59" i="2"/>
  <c r="F59" i="2"/>
  <c r="G59" i="2" s="1"/>
  <c r="D59" i="2"/>
  <c r="K58" i="2"/>
  <c r="I58" i="2"/>
  <c r="H58" i="2"/>
  <c r="F58" i="2"/>
  <c r="G58" i="2" s="1"/>
  <c r="D58" i="2"/>
  <c r="K57" i="2"/>
  <c r="I57" i="2"/>
  <c r="H57" i="2"/>
  <c r="F57" i="2"/>
  <c r="G57" i="2" s="1"/>
  <c r="D57" i="2"/>
  <c r="K56" i="2"/>
  <c r="I56" i="2"/>
  <c r="H56" i="2"/>
  <c r="F56" i="2"/>
  <c r="G56" i="2" s="1"/>
  <c r="D56" i="2"/>
  <c r="K55" i="2"/>
  <c r="I55" i="2"/>
  <c r="H55" i="2"/>
  <c r="F55" i="2"/>
  <c r="G55" i="2" s="1"/>
  <c r="D55" i="2"/>
  <c r="K54" i="2"/>
  <c r="I54" i="2"/>
  <c r="H54" i="2"/>
  <c r="F54" i="2"/>
  <c r="G54" i="2" s="1"/>
  <c r="D54" i="2"/>
  <c r="K53" i="2"/>
  <c r="I53" i="2"/>
  <c r="H53" i="2"/>
  <c r="F53" i="2"/>
  <c r="G53" i="2" s="1"/>
  <c r="D53" i="2"/>
  <c r="K52" i="2"/>
  <c r="I52" i="2"/>
  <c r="H52" i="2"/>
  <c r="F52" i="2"/>
  <c r="G52" i="2" s="1"/>
  <c r="D52" i="2"/>
  <c r="K51" i="2"/>
  <c r="I51" i="2"/>
  <c r="H51" i="2"/>
  <c r="F51" i="2"/>
  <c r="G51" i="2" s="1"/>
  <c r="D51" i="2"/>
  <c r="K50" i="2"/>
  <c r="I50" i="2"/>
  <c r="H50" i="2"/>
  <c r="F50" i="2"/>
  <c r="G50" i="2" s="1"/>
  <c r="D50" i="2"/>
  <c r="K49" i="2"/>
  <c r="I49" i="2"/>
  <c r="H49" i="2"/>
  <c r="F49" i="2"/>
  <c r="G49" i="2" s="1"/>
  <c r="D49" i="2"/>
  <c r="K48" i="2"/>
  <c r="I48" i="2"/>
  <c r="H48" i="2"/>
  <c r="F48" i="2"/>
  <c r="G48" i="2" s="1"/>
  <c r="D48" i="2"/>
  <c r="K47" i="2"/>
  <c r="I47" i="2"/>
  <c r="H47" i="2"/>
  <c r="F47" i="2"/>
  <c r="G47" i="2" s="1"/>
  <c r="D47" i="2"/>
  <c r="K46" i="2"/>
  <c r="I46" i="2"/>
  <c r="H46" i="2"/>
  <c r="F46" i="2"/>
  <c r="G46" i="2" s="1"/>
  <c r="D46" i="2"/>
  <c r="K45" i="2"/>
  <c r="I45" i="2"/>
  <c r="H45" i="2"/>
  <c r="F45" i="2"/>
  <c r="G45" i="2" s="1"/>
  <c r="D45" i="2"/>
  <c r="K44" i="2"/>
  <c r="I44" i="2"/>
  <c r="H44" i="2"/>
  <c r="F44" i="2"/>
  <c r="G44" i="2" s="1"/>
  <c r="D44" i="2"/>
  <c r="K43" i="2"/>
  <c r="I43" i="2"/>
  <c r="H43" i="2"/>
  <c r="F43" i="2"/>
  <c r="G43" i="2" s="1"/>
  <c r="D43" i="2"/>
  <c r="K42" i="2"/>
  <c r="L42" i="2" s="1"/>
  <c r="I42" i="2"/>
  <c r="H42" i="2"/>
  <c r="F42" i="2"/>
  <c r="G42" i="2" s="1"/>
  <c r="D42" i="2"/>
  <c r="K41" i="2"/>
  <c r="K3" i="2"/>
  <c r="G3" i="2"/>
  <c r="C3" i="2"/>
  <c r="H3" i="2" l="1"/>
  <c r="D3" i="2"/>
  <c r="D4" i="2" s="1"/>
  <c r="L3" i="2"/>
  <c r="L4" i="2" s="1"/>
  <c r="E3" i="2"/>
  <c r="E4" i="2" s="1"/>
  <c r="I3" i="2"/>
  <c r="I4" i="2" s="1"/>
  <c r="M3" i="2"/>
  <c r="F3" i="2"/>
  <c r="F4" i="2" s="1"/>
  <c r="J3" i="2"/>
  <c r="J4" i="2" s="1"/>
  <c r="AC24" i="2"/>
  <c r="M4" i="2"/>
  <c r="H4" i="2"/>
  <c r="C4" i="2"/>
  <c r="G4" i="2"/>
  <c r="K4" i="2"/>
  <c r="Q82" i="2"/>
  <c r="M82" i="2"/>
  <c r="P81" i="2"/>
  <c r="L81" i="2"/>
  <c r="O80" i="2"/>
  <c r="C80" i="2"/>
  <c r="E80" i="2" s="1"/>
  <c r="J80" i="2" s="1"/>
  <c r="N79" i="2"/>
  <c r="Q78" i="2"/>
  <c r="M78" i="2"/>
  <c r="P77" i="2"/>
  <c r="L77" i="2"/>
  <c r="O76" i="2"/>
  <c r="C76" i="2"/>
  <c r="E76" i="2" s="1"/>
  <c r="J76" i="2" s="1"/>
  <c r="N75" i="2"/>
  <c r="O74" i="2"/>
  <c r="C74" i="2"/>
  <c r="E74" i="2" s="1"/>
  <c r="J74" i="2" s="1"/>
  <c r="P73" i="2"/>
  <c r="L73" i="2"/>
  <c r="Q72" i="2"/>
  <c r="K7" i="2" s="1"/>
  <c r="M72" i="2"/>
  <c r="N71" i="2"/>
  <c r="O70" i="2"/>
  <c r="C70" i="2"/>
  <c r="E70" i="2" s="1"/>
  <c r="J70" i="2" s="1"/>
  <c r="N69" i="2"/>
  <c r="Q68" i="2"/>
  <c r="L7" i="2" s="1"/>
  <c r="M68" i="2"/>
  <c r="P67" i="2"/>
  <c r="L67" i="2"/>
  <c r="Q66" i="2"/>
  <c r="D7" i="2" s="1"/>
  <c r="M66" i="2"/>
  <c r="Q65" i="2"/>
  <c r="M65" i="2"/>
  <c r="P64" i="2"/>
  <c r="L64" i="2"/>
  <c r="O63" i="2"/>
  <c r="B5" i="2" s="1"/>
  <c r="C63" i="2"/>
  <c r="E63" i="2" s="1"/>
  <c r="J63" i="2" s="1"/>
  <c r="N62" i="2"/>
  <c r="S61" i="2"/>
  <c r="N61" i="2"/>
  <c r="O60" i="2"/>
  <c r="C60" i="2"/>
  <c r="E60" i="2" s="1"/>
  <c r="J60" i="2" s="1"/>
  <c r="O59" i="2"/>
  <c r="C59" i="2"/>
  <c r="E59" i="2" s="1"/>
  <c r="J59" i="2" s="1"/>
  <c r="O58" i="2"/>
  <c r="C58" i="2"/>
  <c r="E58" i="2" s="1"/>
  <c r="J58" i="2" s="1"/>
  <c r="O57" i="2"/>
  <c r="C57" i="2"/>
  <c r="E57" i="2" s="1"/>
  <c r="J57" i="2" s="1"/>
  <c r="O56" i="2"/>
  <c r="C56" i="2"/>
  <c r="E56" i="2" s="1"/>
  <c r="J56" i="2" s="1"/>
  <c r="O55" i="2"/>
  <c r="C55" i="2"/>
  <c r="E55" i="2" s="1"/>
  <c r="J55" i="2" s="1"/>
  <c r="O54" i="2"/>
  <c r="C54" i="2"/>
  <c r="E54" i="2" s="1"/>
  <c r="J54" i="2" s="1"/>
  <c r="O53" i="2"/>
  <c r="C53" i="2"/>
  <c r="E53" i="2" s="1"/>
  <c r="J53" i="2" s="1"/>
  <c r="O52" i="2"/>
  <c r="P82" i="2"/>
  <c r="L82" i="2"/>
  <c r="O81" i="2"/>
  <c r="C81" i="2"/>
  <c r="E81" i="2" s="1"/>
  <c r="J81" i="2" s="1"/>
  <c r="N80" i="2"/>
  <c r="Q79" i="2"/>
  <c r="G7" i="2" s="1"/>
  <c r="M79" i="2"/>
  <c r="P78" i="2"/>
  <c r="L78" i="2"/>
  <c r="O77" i="2"/>
  <c r="O82" i="2"/>
  <c r="C82" i="2"/>
  <c r="E82" i="2" s="1"/>
  <c r="J82" i="2" s="1"/>
  <c r="N81" i="2"/>
  <c r="Q80" i="2"/>
  <c r="I7" i="2" s="1"/>
  <c r="M80" i="2"/>
  <c r="P79" i="2"/>
  <c r="L79" i="2"/>
  <c r="O78" i="2"/>
  <c r="C78" i="2"/>
  <c r="E78" i="2" s="1"/>
  <c r="J78" i="2" s="1"/>
  <c r="N77" i="2"/>
  <c r="Q76" i="2"/>
  <c r="J7" i="2" s="1"/>
  <c r="M76" i="2"/>
  <c r="P75" i="2"/>
  <c r="L75" i="2"/>
  <c r="Q74" i="2"/>
  <c r="M74" i="2"/>
  <c r="N73" i="2"/>
  <c r="O72" i="2"/>
  <c r="C72" i="2"/>
  <c r="E72" i="2" s="1"/>
  <c r="J72" i="2" s="1"/>
  <c r="P71" i="2"/>
  <c r="L71" i="2"/>
  <c r="Q70" i="2"/>
  <c r="M70" i="2"/>
  <c r="P69" i="2"/>
  <c r="L69" i="2"/>
  <c r="O68" i="2"/>
  <c r="C68" i="2"/>
  <c r="E68" i="2" s="1"/>
  <c r="J68" i="2" s="1"/>
  <c r="L5" i="2" s="1"/>
  <c r="L6" i="2" s="1"/>
  <c r="N67" i="2"/>
  <c r="O66" i="2"/>
  <c r="C66" i="2"/>
  <c r="E66" i="2" s="1"/>
  <c r="J66" i="2" s="1"/>
  <c r="O65" i="2"/>
  <c r="C65" i="2"/>
  <c r="E65" i="2" s="1"/>
  <c r="J65" i="2" s="1"/>
  <c r="N64" i="2"/>
  <c r="Q63" i="2"/>
  <c r="B7" i="2" s="1"/>
  <c r="M63" i="2"/>
  <c r="P62" i="2"/>
  <c r="L62" i="2"/>
  <c r="P61" i="2"/>
  <c r="L61" i="2"/>
  <c r="Q60" i="2"/>
  <c r="M60" i="2"/>
  <c r="Q59" i="2"/>
  <c r="M59" i="2"/>
  <c r="Q58" i="2"/>
  <c r="M58" i="2"/>
  <c r="Q57" i="2"/>
  <c r="M57" i="2"/>
  <c r="Q56" i="2"/>
  <c r="M56" i="2"/>
  <c r="Q55" i="2"/>
  <c r="M55" i="2"/>
  <c r="Q54" i="2"/>
  <c r="M54" i="2"/>
  <c r="Q53" i="2"/>
  <c r="M53" i="2"/>
  <c r="N42" i="2"/>
  <c r="C43" i="2"/>
  <c r="E43" i="2" s="1"/>
  <c r="J43" i="2" s="1"/>
  <c r="O43" i="2"/>
  <c r="C44" i="2"/>
  <c r="E44" i="2" s="1"/>
  <c r="J44" i="2" s="1"/>
  <c r="O44" i="2"/>
  <c r="C45" i="2"/>
  <c r="E45" i="2" s="1"/>
  <c r="J45" i="2" s="1"/>
  <c r="O45" i="2"/>
  <c r="C46" i="2"/>
  <c r="E46" i="2" s="1"/>
  <c r="J46" i="2" s="1"/>
  <c r="O46" i="2"/>
  <c r="C47" i="2"/>
  <c r="E47" i="2" s="1"/>
  <c r="J47" i="2" s="1"/>
  <c r="O47" i="2"/>
  <c r="C48" i="2"/>
  <c r="E48" i="2" s="1"/>
  <c r="J48" i="2" s="1"/>
  <c r="O48" i="2"/>
  <c r="C49" i="2"/>
  <c r="E49" i="2" s="1"/>
  <c r="J49" i="2" s="1"/>
  <c r="O49" i="2"/>
  <c r="N50" i="2"/>
  <c r="S50" i="2"/>
  <c r="N51" i="2"/>
  <c r="S51" i="2"/>
  <c r="P52" i="2"/>
  <c r="P53" i="2"/>
  <c r="L54" i="2"/>
  <c r="P55" i="2"/>
  <c r="L56" i="2"/>
  <c r="P57" i="2"/>
  <c r="L58" i="2"/>
  <c r="P59" i="2"/>
  <c r="L60" i="2"/>
  <c r="C62" i="2"/>
  <c r="E62" i="2" s="1"/>
  <c r="J62" i="2" s="1"/>
  <c r="M62" i="2"/>
  <c r="C64" i="2"/>
  <c r="E64" i="2" s="1"/>
  <c r="J64" i="2" s="1"/>
  <c r="C5" i="2" s="1"/>
  <c r="C6" i="2" s="1"/>
  <c r="M64" i="2"/>
  <c r="N66" i="2"/>
  <c r="C67" i="2"/>
  <c r="E67" i="2" s="1"/>
  <c r="J67" i="2" s="1"/>
  <c r="M67" i="2"/>
  <c r="C69" i="2"/>
  <c r="E69" i="2" s="1"/>
  <c r="J69" i="2" s="1"/>
  <c r="M69" i="2"/>
  <c r="N72" i="2"/>
  <c r="O73" i="2"/>
  <c r="P76" i="2"/>
  <c r="P80" i="2"/>
  <c r="Q81" i="2"/>
  <c r="H7" i="2" s="1"/>
  <c r="C42" i="2"/>
  <c r="E42" i="2" s="1"/>
  <c r="J42" i="2" s="1"/>
  <c r="O42" i="2"/>
  <c r="L43" i="2"/>
  <c r="P43" i="2"/>
  <c r="L44" i="2"/>
  <c r="P44" i="2"/>
  <c r="L45" i="2"/>
  <c r="P45" i="2"/>
  <c r="L46" i="2"/>
  <c r="P46" i="2"/>
  <c r="L47" i="2"/>
  <c r="P47" i="2"/>
  <c r="L48" i="2"/>
  <c r="P48" i="2"/>
  <c r="L49" i="2"/>
  <c r="P49" i="2"/>
  <c r="C50" i="2"/>
  <c r="E50" i="2" s="1"/>
  <c r="J50" i="2" s="1"/>
  <c r="O50" i="2"/>
  <c r="C51" i="2"/>
  <c r="E51" i="2" s="1"/>
  <c r="J51" i="2" s="1"/>
  <c r="O51" i="2"/>
  <c r="C52" i="2"/>
  <c r="E52" i="2" s="1"/>
  <c r="J52" i="2" s="1"/>
  <c r="L52" i="2"/>
  <c r="Q52" i="2"/>
  <c r="S53" i="2"/>
  <c r="N54" i="2"/>
  <c r="S55" i="2"/>
  <c r="N56" i="2"/>
  <c r="S57" i="2"/>
  <c r="N58" i="2"/>
  <c r="S59" i="2"/>
  <c r="N60" i="2"/>
  <c r="C61" i="2"/>
  <c r="E61" i="2" s="1"/>
  <c r="J61" i="2" s="1"/>
  <c r="M61" i="2"/>
  <c r="O62" i="2"/>
  <c r="L63" i="2"/>
  <c r="O64" i="2"/>
  <c r="L65" i="2"/>
  <c r="P66" i="2"/>
  <c r="O67" i="2"/>
  <c r="L68" i="2"/>
  <c r="O69" i="2"/>
  <c r="L70" i="2"/>
  <c r="C71" i="2"/>
  <c r="E71" i="2" s="1"/>
  <c r="J71" i="2" s="1"/>
  <c r="M71" i="2"/>
  <c r="P72" i="2"/>
  <c r="Q73" i="2"/>
  <c r="L74" i="2"/>
  <c r="C75" i="2"/>
  <c r="E75" i="2" s="1"/>
  <c r="J75" i="2" s="1"/>
  <c r="M75" i="2"/>
  <c r="C77" i="2"/>
  <c r="E77" i="2" s="1"/>
  <c r="J77" i="2" s="1"/>
  <c r="M77" i="2"/>
  <c r="N78" i="2"/>
  <c r="O79" i="2"/>
  <c r="P42" i="2"/>
  <c r="M43" i="2"/>
  <c r="Q43" i="2"/>
  <c r="M44" i="2"/>
  <c r="Q44" i="2"/>
  <c r="M45" i="2"/>
  <c r="Q45" i="2"/>
  <c r="M46" i="2"/>
  <c r="Q46" i="2"/>
  <c r="M47" i="2"/>
  <c r="Q47" i="2"/>
  <c r="M48" i="2"/>
  <c r="Q48" i="2"/>
  <c r="M49" i="2"/>
  <c r="Q49" i="2"/>
  <c r="L50" i="2"/>
  <c r="P50" i="2"/>
  <c r="L51" i="2"/>
  <c r="P51" i="2"/>
  <c r="M52" i="2"/>
  <c r="S52" i="2"/>
  <c r="L53" i="2"/>
  <c r="P54" i="2"/>
  <c r="L55" i="2"/>
  <c r="P56" i="2"/>
  <c r="L57" i="2"/>
  <c r="P58" i="2"/>
  <c r="L59" i="2"/>
  <c r="P60" i="2"/>
  <c r="O61" i="2"/>
  <c r="Q62" i="2"/>
  <c r="N63" i="2"/>
  <c r="Q64" i="2"/>
  <c r="N65" i="2"/>
  <c r="Q67" i="2"/>
  <c r="N68" i="2"/>
  <c r="Q69" i="2"/>
  <c r="E7" i="2" s="1"/>
  <c r="N70" i="2"/>
  <c r="O71" i="2"/>
  <c r="N74" i="2"/>
  <c r="O75" i="2"/>
  <c r="L76" i="2"/>
  <c r="Q77" i="2"/>
  <c r="C79" i="2"/>
  <c r="E79" i="2" s="1"/>
  <c r="J79" i="2" s="1"/>
  <c r="M42" i="2"/>
  <c r="Q42" i="2"/>
  <c r="N43" i="2"/>
  <c r="S43" i="2"/>
  <c r="N44" i="2"/>
  <c r="S44" i="2"/>
  <c r="N45" i="2"/>
  <c r="S45" i="2"/>
  <c r="N46" i="2"/>
  <c r="S46" i="2"/>
  <c r="N47" i="2"/>
  <c r="S47" i="2"/>
  <c r="N48" i="2"/>
  <c r="S48" i="2"/>
  <c r="N49" i="2"/>
  <c r="S49" i="2"/>
  <c r="M50" i="2"/>
  <c r="Q50" i="2"/>
  <c r="M51" i="2"/>
  <c r="Q51" i="2"/>
  <c r="N52" i="2"/>
  <c r="N53" i="2"/>
  <c r="S54" i="2"/>
  <c r="N55" i="2"/>
  <c r="S56" i="2"/>
  <c r="N57" i="2"/>
  <c r="S58" i="2"/>
  <c r="N59" i="2"/>
  <c r="S60" i="2"/>
  <c r="Q61" i="2"/>
  <c r="P63" i="2"/>
  <c r="P65" i="2"/>
  <c r="L66" i="2"/>
  <c r="P68" i="2"/>
  <c r="P70" i="2"/>
  <c r="Q71" i="2"/>
  <c r="L72" i="2"/>
  <c r="C73" i="2"/>
  <c r="E73" i="2" s="1"/>
  <c r="J73" i="2" s="1"/>
  <c r="M73" i="2"/>
  <c r="P74" i="2"/>
  <c r="Q75" i="2"/>
  <c r="F7" i="2" s="1"/>
  <c r="N76" i="2"/>
  <c r="L80" i="2"/>
  <c r="M81" i="2"/>
  <c r="N82" i="2"/>
  <c r="F5" i="2" l="1"/>
  <c r="F6" i="2" s="1"/>
  <c r="B6" i="2"/>
  <c r="I5" i="2"/>
  <c r="I6" i="2" s="1"/>
  <c r="K5" i="2"/>
  <c r="K6" i="2" s="1"/>
  <c r="E5" i="2"/>
  <c r="E6" i="2" s="1"/>
  <c r="J5" i="2"/>
  <c r="J6" i="2" s="1"/>
  <c r="G5" i="2"/>
  <c r="G6" i="2" s="1"/>
  <c r="H5" i="2"/>
  <c r="H6" i="2" s="1"/>
  <c r="D5" i="2"/>
  <c r="D6" i="2" s="1"/>
  <c r="M5" i="2"/>
  <c r="M6" i="2" s="1"/>
  <c r="M7" i="2"/>
  <c r="C7" i="2"/>
</calcChain>
</file>

<file path=xl/sharedStrings.xml><?xml version="1.0" encoding="utf-8"?>
<sst xmlns="http://schemas.openxmlformats.org/spreadsheetml/2006/main" count="99" uniqueCount="88">
  <si>
    <t>Månad</t>
  </si>
  <si>
    <t>Jan</t>
  </si>
  <si>
    <t>Feb</t>
  </si>
  <si>
    <t>Mar</t>
  </si>
  <si>
    <t>Apr</t>
  </si>
  <si>
    <t>Maj</t>
  </si>
  <si>
    <t>Jun</t>
  </si>
  <si>
    <t>Jul</t>
  </si>
  <si>
    <t>Aug</t>
  </si>
  <si>
    <t>Sep</t>
  </si>
  <si>
    <t>Okt</t>
  </si>
  <si>
    <t>Nov</t>
  </si>
  <si>
    <t>Dec</t>
  </si>
  <si>
    <t>Medeltemperatur</t>
  </si>
  <si>
    <t>https://eltipsaren.se/sv/advice/andra-ventilationen-att-gora-franluftsvarmepumpen-mer-effektiv</t>
  </si>
  <si>
    <t>Effektbehov värme</t>
  </si>
  <si>
    <t>Energi värme</t>
  </si>
  <si>
    <t>Effekt värme, baserat på nedan kalkyl</t>
  </si>
  <si>
    <t>Energi värme, FLVP, 150m^^3/h</t>
  </si>
  <si>
    <t>Energi värme, FLVP, 150m^^3/h + LLVP</t>
  </si>
  <si>
    <t xml:space="preserve">E hushållsel </t>
  </si>
  <si>
    <t xml:space="preserve">(kWh/år) </t>
  </si>
  <si>
    <t>Aom, total</t>
  </si>
  <si>
    <t>Pud = Omslutningsarea * U_genomsnittligt * (T_inne - T_ute)</t>
  </si>
  <si>
    <t xml:space="preserve">E ut värmesystem </t>
  </si>
  <si>
    <t>Aom, skal</t>
  </si>
  <si>
    <t>m^3/h</t>
  </si>
  <si>
    <r>
      <rPr>
        <sz val="11"/>
        <color rgb="FFFF0000"/>
        <rFont val="Calibri"/>
        <family val="2"/>
        <scheme val="minor"/>
      </rPr>
      <t>Puv = L * (T_inne - T_ute)</t>
    </r>
    <r>
      <rPr>
        <sz val="11"/>
        <color theme="1"/>
        <rFont val="Calibri"/>
        <family val="2"/>
        <scheme val="minor"/>
      </rPr>
      <t xml:space="preserve"> + förlust i ventilationsrören</t>
    </r>
  </si>
  <si>
    <t xml:space="preserve">FEL? Värmen återvinns till större delen och så länge utetemp är lägre än avluften så är verkningsgraden större än ett. Eller, det är rätt beakt Ps nedan. </t>
  </si>
  <si>
    <t xml:space="preserve">E varmvattenanv. </t>
  </si>
  <si>
    <t>Abottenplatta</t>
  </si>
  <si>
    <t>L är luftflödet i m3/h</t>
  </si>
  <si>
    <t xml:space="preserve">E värmeläckage WB </t>
  </si>
  <si>
    <t>Um</t>
  </si>
  <si>
    <t xml:space="preserve">E el fläktar </t>
  </si>
  <si>
    <t>Uatot</t>
  </si>
  <si>
    <t>Husets uppvärmning kan modelleras enligt följande:</t>
  </si>
  <si>
    <t xml:space="preserve">E el cirk.pump, värmedistr. </t>
  </si>
  <si>
    <t>InneTemp</t>
  </si>
  <si>
    <t>uppvärmning är summan av tillförd effekt i form av el (P_in) och hur mycket som kan tas från frånluften (Ps) samt övriga värmekällor</t>
  </si>
  <si>
    <t xml:space="preserve">E el vp kompressor </t>
  </si>
  <si>
    <t>Pin = P_in_v + Ps + P_eltillsats + annat</t>
  </si>
  <si>
    <t xml:space="preserve">varav till värme </t>
  </si>
  <si>
    <t>Övriga värmekällor inkluderar spis, ugn med mera.</t>
  </si>
  <si>
    <t xml:space="preserve">E elpatron, tillskott </t>
  </si>
  <si>
    <t>Huset når värmebalans när Pu = Pin</t>
  </si>
  <si>
    <t>Exempel</t>
  </si>
  <si>
    <t>Omslutningsarea: 449 m2</t>
  </si>
  <si>
    <t>Genomsnittligt U:  0.218</t>
  </si>
  <si>
    <t>KWh/år</t>
  </si>
  <si>
    <t>Tempratur inne: 20 grader</t>
  </si>
  <si>
    <t>Pud = 0.098 * (20 - T_ute) kW</t>
  </si>
  <si>
    <t>Puv = L * 0.000365 * (20 - T_ute) kW</t>
  </si>
  <si>
    <t>Ps måste man mäta sig fram till som en funktion av Hz_kompressor</t>
  </si>
  <si>
    <t>L=</t>
  </si>
  <si>
    <t>Hz</t>
  </si>
  <si>
    <t>Ps</t>
  </si>
  <si>
    <t>0.81</t>
  </si>
  <si>
    <t>Area</t>
  </si>
  <si>
    <t>m^2</t>
  </si>
  <si>
    <t>0.98</t>
  </si>
  <si>
    <r>
      <t>U</t>
    </r>
    <r>
      <rPr>
        <sz val="8"/>
        <color theme="1"/>
        <rFont val="Calibri"/>
        <family val="2"/>
        <scheme val="minor"/>
      </rPr>
      <t>medel</t>
    </r>
  </si>
  <si>
    <t>w/K/m^2</t>
  </si>
  <si>
    <t>1.14</t>
  </si>
  <si>
    <r>
      <t>T</t>
    </r>
    <r>
      <rPr>
        <sz val="8"/>
        <color theme="1"/>
        <rFont val="Calibri"/>
        <family val="2"/>
        <scheme val="minor"/>
      </rPr>
      <t>_inne</t>
    </r>
  </si>
  <si>
    <t>Celcius</t>
  </si>
  <si>
    <t>Luftflöde</t>
  </si>
  <si>
    <r>
      <t>T</t>
    </r>
    <r>
      <rPr>
        <sz val="8"/>
        <color theme="1"/>
        <rFont val="Calibri"/>
        <family val="2"/>
        <scheme val="minor"/>
      </rPr>
      <t>frmaledn</t>
    </r>
  </si>
  <si>
    <t>Tavluft</t>
  </si>
  <si>
    <r>
      <t>P</t>
    </r>
    <r>
      <rPr>
        <sz val="8"/>
        <color theme="1"/>
        <rFont val="Calibri"/>
        <family val="2"/>
        <scheme val="minor"/>
      </rPr>
      <t>_hushållsel</t>
    </r>
  </si>
  <si>
    <r>
      <t>F</t>
    </r>
    <r>
      <rPr>
        <sz val="8"/>
        <color theme="1"/>
        <rFont val="Calibri"/>
        <family val="2"/>
        <scheme val="minor"/>
      </rPr>
      <t>örluster</t>
    </r>
  </si>
  <si>
    <r>
      <t>T</t>
    </r>
    <r>
      <rPr>
        <sz val="9"/>
        <color theme="1"/>
        <rFont val="Calibri"/>
        <family val="2"/>
        <scheme val="minor"/>
      </rPr>
      <t>_ute</t>
    </r>
  </si>
  <si>
    <r>
      <t xml:space="preserve">Pud </t>
    </r>
    <r>
      <rPr>
        <sz val="8"/>
        <color theme="1"/>
        <rFont val="Calibri"/>
        <family val="2"/>
        <scheme val="minor"/>
      </rPr>
      <t>(Area * U * (T_inne - T_ute)</t>
    </r>
  </si>
  <si>
    <r>
      <t xml:space="preserve">Puv </t>
    </r>
    <r>
      <rPr>
        <sz val="8"/>
        <color theme="1"/>
        <rFont val="Calibri"/>
        <family val="2"/>
        <scheme val="minor"/>
      </rPr>
      <t xml:space="preserve">( L * 0,00035 * (T_inne - T_ute) + vent förluster) </t>
    </r>
  </si>
  <si>
    <r>
      <t xml:space="preserve">Pu </t>
    </r>
    <r>
      <rPr>
        <sz val="8"/>
        <color theme="1"/>
        <rFont val="Calibri"/>
        <family val="2"/>
        <scheme val="minor"/>
      </rPr>
      <t xml:space="preserve">( Pud + Pud) </t>
    </r>
  </si>
  <si>
    <r>
      <t xml:space="preserve">COP FLVP </t>
    </r>
    <r>
      <rPr>
        <sz val="8"/>
        <color theme="1"/>
        <rFont val="Calibri"/>
        <family val="2"/>
        <scheme val="minor"/>
      </rPr>
      <t xml:space="preserve">(1/(1-((273+T_ute)/(273+T_inne)))/2) </t>
    </r>
  </si>
  <si>
    <r>
      <t xml:space="preserve">Ps </t>
    </r>
    <r>
      <rPr>
        <sz val="8"/>
        <color theme="1"/>
        <rFont val="Calibri"/>
        <family val="2"/>
        <scheme val="minor"/>
      </rPr>
      <t xml:space="preserve">( L * 0,00035 * (T_inne - T_ute * (COP-1)/COP </t>
    </r>
  </si>
  <si>
    <r>
      <t>P</t>
    </r>
    <r>
      <rPr>
        <sz val="8"/>
        <color theme="1"/>
        <rFont val="Calibri"/>
        <family val="2"/>
        <scheme val="minor"/>
      </rPr>
      <t>_hushållsel/2</t>
    </r>
    <r>
      <rPr>
        <sz val="11"/>
        <color theme="1"/>
        <rFont val="Calibri"/>
        <family val="2"/>
        <scheme val="minor"/>
      </rPr>
      <t>-Förluster</t>
    </r>
  </si>
  <si>
    <r>
      <t xml:space="preserve">COP LLVP </t>
    </r>
    <r>
      <rPr>
        <sz val="8"/>
        <color theme="1"/>
        <rFont val="Calibri"/>
        <family val="2"/>
        <scheme val="minor"/>
      </rPr>
      <t xml:space="preserve">(1/(1-((273+T_ute)/(273+T_inne)))/2) </t>
    </r>
  </si>
  <si>
    <r>
      <t>P</t>
    </r>
    <r>
      <rPr>
        <sz val="9"/>
        <color theme="1"/>
        <rFont val="Calibri"/>
        <family val="2"/>
        <scheme val="minor"/>
      </rPr>
      <t xml:space="preserve">_eltillsats + eldn </t>
    </r>
    <r>
      <rPr>
        <sz val="8"/>
        <color theme="1"/>
        <rFont val="Calibri"/>
        <family val="2"/>
        <scheme val="minor"/>
      </rPr>
      <t>(Pu-Ps-P_hushåll/2)</t>
    </r>
  </si>
  <si>
    <t>Ingen FLVP, 150m^3/h</t>
  </si>
  <si>
    <r>
      <t>0 m^3/h, FLVP, P</t>
    </r>
    <r>
      <rPr>
        <sz val="9"/>
        <color theme="1"/>
        <rFont val="Calibri"/>
        <family val="2"/>
        <scheme val="minor"/>
      </rPr>
      <t xml:space="preserve">_eltillsats + eldn </t>
    </r>
    <r>
      <rPr>
        <sz val="8"/>
        <color theme="1"/>
        <rFont val="Calibri"/>
        <family val="2"/>
        <scheme val="minor"/>
      </rPr>
      <t>(Pu-Ps-P_hushåll/2+Förluster)</t>
    </r>
  </si>
  <si>
    <r>
      <t>50 m^3/h, FLVP, P</t>
    </r>
    <r>
      <rPr>
        <sz val="9"/>
        <color theme="1"/>
        <rFont val="Calibri"/>
        <family val="2"/>
        <scheme val="minor"/>
      </rPr>
      <t xml:space="preserve">_eltillsats + eldn </t>
    </r>
    <r>
      <rPr>
        <sz val="8"/>
        <color theme="1"/>
        <rFont val="Calibri"/>
        <family val="2"/>
        <scheme val="minor"/>
      </rPr>
      <t>(Pu-Ps-P_hushåll/2+Förluster)</t>
    </r>
  </si>
  <si>
    <r>
      <t>150 m^3/h, FLVP, P</t>
    </r>
    <r>
      <rPr>
        <sz val="9"/>
        <color theme="1"/>
        <rFont val="Calibri"/>
        <family val="2"/>
        <scheme val="minor"/>
      </rPr>
      <t xml:space="preserve">_eltillsats + eldn </t>
    </r>
    <r>
      <rPr>
        <sz val="8"/>
        <color theme="1"/>
        <rFont val="Calibri"/>
        <family val="2"/>
        <scheme val="minor"/>
      </rPr>
      <t>(Pu-Ps-P_hushåll/2+Förluster)</t>
    </r>
  </si>
  <si>
    <r>
      <t>250 m^3/h, FLVP, P</t>
    </r>
    <r>
      <rPr>
        <sz val="9"/>
        <color theme="1"/>
        <rFont val="Calibri"/>
        <family val="2"/>
        <scheme val="minor"/>
      </rPr>
      <t xml:space="preserve">_eltillsats + eldn </t>
    </r>
    <r>
      <rPr>
        <sz val="8"/>
        <color theme="1"/>
        <rFont val="Calibri"/>
        <family val="2"/>
        <scheme val="minor"/>
      </rPr>
      <t>(Pu-Ps-P_hushåll/2+Förluster)</t>
    </r>
  </si>
  <si>
    <r>
      <t>150 m^3/h, FLVP+</t>
    </r>
    <r>
      <rPr>
        <sz val="9"/>
        <color theme="1"/>
        <rFont val="Calibri"/>
        <family val="2"/>
        <scheme val="minor"/>
      </rPr>
      <t xml:space="preserve">LLVP + eldn </t>
    </r>
    <r>
      <rPr>
        <sz val="8"/>
        <color theme="1"/>
        <rFont val="Calibri"/>
        <family val="2"/>
        <scheme val="minor"/>
      </rPr>
      <t>(Pu-Ps-P_hushåll/2+Förluster)</t>
    </r>
  </si>
  <si>
    <r>
      <t>150 m^3/h, P</t>
    </r>
    <r>
      <rPr>
        <sz val="9"/>
        <color theme="1"/>
        <rFont val="Calibri"/>
        <family val="2"/>
        <scheme val="minor"/>
      </rPr>
      <t xml:space="preserve">_LLVP + eldn </t>
    </r>
    <r>
      <rPr>
        <sz val="8"/>
        <color theme="1"/>
        <rFont val="Calibri"/>
        <family val="2"/>
        <scheme val="minor"/>
      </rPr>
      <t>(Pu-Ps-P_hushåll/2+Förluster)</t>
    </r>
  </si>
  <si>
    <t xml:space="preserve">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</si>
</sst>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47">
    <xf numFmtId="0" fontId="0" fillId="0" borderId="0" xfId="0"/>
    <xf numFmtId="0" fontId="3" fillId="2" borderId="0" xfId="0" applyFont="1" applyFill="1" applyAlignment="1">
      <alignment horizontal="center"/>
    </xf>
    <xf numFmtId="164" fontId="0" fillId="0" borderId="0" xfId="0" applyNumberFormat="1" applyAlignment="1">
      <alignment horizontal="center" vertical="center"/>
    </xf>
    <xf numFmtId="0" fontId="4" fillId="0" borderId="0" xfId="2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164" fontId="0" fillId="3" borderId="0" xfId="0" applyNumberFormat="1" applyFill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left" vertical="center" indent="1"/>
    </xf>
    <xf numFmtId="0" fontId="0" fillId="0" borderId="0" xfId="0" applyAlignment="1">
      <alignment horizontal="right"/>
    </xf>
    <xf numFmtId="0" fontId="2" fillId="0" borderId="0" xfId="0" applyFont="1"/>
    <xf numFmtId="0" fontId="0" fillId="4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0" fontId="7" fillId="0" borderId="0" xfId="0" applyFont="1"/>
    <xf numFmtId="16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0" borderId="0" xfId="0" applyAlignment="1">
      <alignment wrapText="1"/>
    </xf>
    <xf numFmtId="2" fontId="0" fillId="5" borderId="0" xfId="0" applyNumberFormat="1" applyFill="1" applyAlignment="1">
      <alignment horizontal="center"/>
    </xf>
    <xf numFmtId="0" fontId="0" fillId="6" borderId="0" xfId="0" applyFill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6" borderId="0" xfId="0" applyNumberFormat="1" applyFill="1" applyAlignment="1">
      <alignment horizontal="center" vertical="center"/>
    </xf>
    <xf numFmtId="1" fontId="0" fillId="5" borderId="0" xfId="0" applyNumberForma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7" borderId="0" xfId="0" applyFill="1"/>
    <xf numFmtId="0" fontId="0" fillId="7" borderId="0" xfId="0" applyFill="1" applyAlignment="1">
      <alignment horizontal="center"/>
    </xf>
    <xf numFmtId="0" fontId="0" fillId="7" borderId="0" xfId="0" applyFill="1" applyAlignment="1">
      <alignment horizontal="center" vertical="center" wrapText="1"/>
    </xf>
    <xf numFmtId="0" fontId="0" fillId="7" borderId="1" xfId="0" applyFill="1" applyBorder="1"/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/>
    <xf numFmtId="1" fontId="5" fillId="7" borderId="0" xfId="0" applyNumberFormat="1" applyFont="1" applyFill="1" applyBorder="1" applyAlignment="1">
      <alignment horizontal="center"/>
    </xf>
    <xf numFmtId="1" fontId="5" fillId="7" borderId="5" xfId="0" applyNumberFormat="1" applyFont="1" applyFill="1" applyBorder="1" applyAlignment="1">
      <alignment horizontal="center"/>
    </xf>
    <xf numFmtId="1" fontId="6" fillId="7" borderId="0" xfId="0" applyNumberFormat="1" applyFont="1" applyFill="1" applyBorder="1" applyAlignment="1">
      <alignment horizontal="center"/>
    </xf>
    <xf numFmtId="1" fontId="6" fillId="7" borderId="5" xfId="0" applyNumberFormat="1" applyFont="1" applyFill="1" applyBorder="1" applyAlignment="1">
      <alignment horizontal="center"/>
    </xf>
    <xf numFmtId="0" fontId="0" fillId="7" borderId="6" xfId="0" applyFill="1" applyBorder="1"/>
    <xf numFmtId="1" fontId="6" fillId="7" borderId="7" xfId="0" applyNumberFormat="1" applyFont="1" applyFill="1" applyBorder="1" applyAlignment="1">
      <alignment horizontal="center"/>
    </xf>
    <xf numFmtId="1" fontId="6" fillId="7" borderId="8" xfId="0" applyNumberFormat="1" applyFont="1" applyFill="1" applyBorder="1" applyAlignment="1">
      <alignment horizontal="center"/>
    </xf>
    <xf numFmtId="164" fontId="0" fillId="7" borderId="5" xfId="0" applyNumberFormat="1" applyFill="1" applyBorder="1" applyAlignment="1">
      <alignment horizontal="center"/>
    </xf>
    <xf numFmtId="0" fontId="0" fillId="7" borderId="4" xfId="0" applyFill="1" applyBorder="1" applyAlignment="1">
      <alignment horizontal="right"/>
    </xf>
    <xf numFmtId="164" fontId="0" fillId="3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 vertical="center"/>
    </xf>
  </cellXfs>
  <cellStyles count="3">
    <cellStyle name="Hyperlänk" xfId="2" builtinId="8"/>
    <cellStyle name="Normal" xfId="0" builtinId="0"/>
    <cellStyle name="Pro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sv-SE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Energiförbrukning-tillskott FLVP vid olika ventliationsflöden och utetemperatur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Energiberäkning!$L$41</c:f>
              <c:strCache>
                <c:ptCount val="1"/>
                <c:pt idx="0">
                  <c:v>Ingen FLVP, 150m^3/h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Energiberäkning!$K$42:$K$82</c:f>
              <c:numCache>
                <c:formatCode>0</c:formatCode>
                <c:ptCount val="41"/>
                <c:pt idx="0">
                  <c:v>-20</c:v>
                </c:pt>
                <c:pt idx="1">
                  <c:v>-19</c:v>
                </c:pt>
                <c:pt idx="2">
                  <c:v>-18</c:v>
                </c:pt>
                <c:pt idx="3">
                  <c:v>-17</c:v>
                </c:pt>
                <c:pt idx="4">
                  <c:v>-16</c:v>
                </c:pt>
                <c:pt idx="5">
                  <c:v>-15</c:v>
                </c:pt>
                <c:pt idx="6">
                  <c:v>-14</c:v>
                </c:pt>
                <c:pt idx="7">
                  <c:v>-13</c:v>
                </c:pt>
                <c:pt idx="8">
                  <c:v>-12</c:v>
                </c:pt>
                <c:pt idx="9">
                  <c:v>-11</c:v>
                </c:pt>
                <c:pt idx="10">
                  <c:v>-10</c:v>
                </c:pt>
                <c:pt idx="11">
                  <c:v>-9</c:v>
                </c:pt>
                <c:pt idx="12">
                  <c:v>-8</c:v>
                </c:pt>
                <c:pt idx="13">
                  <c:v>-7</c:v>
                </c:pt>
                <c:pt idx="14">
                  <c:v>-6</c:v>
                </c:pt>
                <c:pt idx="15">
                  <c:v>-5</c:v>
                </c:pt>
                <c:pt idx="16">
                  <c:v>-4</c:v>
                </c:pt>
                <c:pt idx="17">
                  <c:v>-3</c:v>
                </c:pt>
                <c:pt idx="18">
                  <c:v>-2</c:v>
                </c:pt>
                <c:pt idx="19">
                  <c:v>-1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</c:numCache>
            </c:numRef>
          </c:cat>
          <c:val>
            <c:numRef>
              <c:f>Energiberäkning!$L$42:$L$82</c:f>
              <c:numCache>
                <c:formatCode>0.00</c:formatCode>
                <c:ptCount val="41"/>
                <c:pt idx="0">
                  <c:v>6.7858447488584481</c:v>
                </c:pt>
                <c:pt idx="1">
                  <c:v>6.6133447488584469</c:v>
                </c:pt>
                <c:pt idx="2">
                  <c:v>6.4408447488584475</c:v>
                </c:pt>
                <c:pt idx="3">
                  <c:v>6.2683447488584481</c:v>
                </c:pt>
                <c:pt idx="4">
                  <c:v>6.0958447488584477</c:v>
                </c:pt>
                <c:pt idx="5">
                  <c:v>5.9233447488584474</c:v>
                </c:pt>
                <c:pt idx="6">
                  <c:v>5.750844748858448</c:v>
                </c:pt>
                <c:pt idx="7">
                  <c:v>5.5783447488584477</c:v>
                </c:pt>
                <c:pt idx="8">
                  <c:v>5.4058447488584473</c:v>
                </c:pt>
                <c:pt idx="9">
                  <c:v>5.2333447488584479</c:v>
                </c:pt>
                <c:pt idx="10">
                  <c:v>5.0608447488584476</c:v>
                </c:pt>
                <c:pt idx="11">
                  <c:v>4.8883447488584473</c:v>
                </c:pt>
                <c:pt idx="12">
                  <c:v>4.7158447488584478</c:v>
                </c:pt>
                <c:pt idx="13">
                  <c:v>4.5433447488584484</c:v>
                </c:pt>
                <c:pt idx="14">
                  <c:v>4.3708447488584481</c:v>
                </c:pt>
                <c:pt idx="15">
                  <c:v>4.1983447488584478</c:v>
                </c:pt>
                <c:pt idx="16">
                  <c:v>4.0258447488584475</c:v>
                </c:pt>
                <c:pt idx="17">
                  <c:v>3.8533447488584471</c:v>
                </c:pt>
                <c:pt idx="18">
                  <c:v>3.6808447488584473</c:v>
                </c:pt>
                <c:pt idx="19">
                  <c:v>3.5083447488584474</c:v>
                </c:pt>
                <c:pt idx="20">
                  <c:v>3.3358447488584475</c:v>
                </c:pt>
                <c:pt idx="21">
                  <c:v>3.1633447488584472</c:v>
                </c:pt>
                <c:pt idx="22">
                  <c:v>2.9908447488584473</c:v>
                </c:pt>
                <c:pt idx="23">
                  <c:v>2.8183447488584474</c:v>
                </c:pt>
                <c:pt idx="24">
                  <c:v>2.6458447488584471</c:v>
                </c:pt>
                <c:pt idx="25">
                  <c:v>2.4733447488584472</c:v>
                </c:pt>
                <c:pt idx="26">
                  <c:v>2.3008447488584474</c:v>
                </c:pt>
                <c:pt idx="27">
                  <c:v>2.1283447488584475</c:v>
                </c:pt>
                <c:pt idx="28">
                  <c:v>1.9558447488584474</c:v>
                </c:pt>
                <c:pt idx="29">
                  <c:v>1.7833447488584475</c:v>
                </c:pt>
                <c:pt idx="30">
                  <c:v>1.6108447488584476</c:v>
                </c:pt>
                <c:pt idx="31">
                  <c:v>1.4383447488584475</c:v>
                </c:pt>
                <c:pt idx="32">
                  <c:v>1.2658447488584474</c:v>
                </c:pt>
                <c:pt idx="33">
                  <c:v>1.0933447488584476</c:v>
                </c:pt>
                <c:pt idx="34">
                  <c:v>0.92084474885844747</c:v>
                </c:pt>
                <c:pt idx="35">
                  <c:v>0.74834474885844759</c:v>
                </c:pt>
                <c:pt idx="36">
                  <c:v>0.5758447488584475</c:v>
                </c:pt>
                <c:pt idx="37">
                  <c:v>0.40334474885844745</c:v>
                </c:pt>
                <c:pt idx="38">
                  <c:v>0.23084474885844747</c:v>
                </c:pt>
                <c:pt idx="39">
                  <c:v>5.8344748858447482E-2</c:v>
                </c:pt>
                <c:pt idx="4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80-4A4D-B74F-CD74553F9E21}"/>
            </c:ext>
          </c:extLst>
        </c:ser>
        <c:ser>
          <c:idx val="1"/>
          <c:order val="1"/>
          <c:tx>
            <c:strRef>
              <c:f>Energiberäkning!$M$41</c:f>
              <c:strCache>
                <c:ptCount val="1"/>
                <c:pt idx="0">
                  <c:v>0 m^3/h, FLVP, P_eltillsats + eldn (Pu-Ps-P_hushåll/2+Förluster)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Energiberäkning!$K$42:$K$82</c:f>
              <c:numCache>
                <c:formatCode>0</c:formatCode>
                <c:ptCount val="41"/>
                <c:pt idx="0">
                  <c:v>-20</c:v>
                </c:pt>
                <c:pt idx="1">
                  <c:v>-19</c:v>
                </c:pt>
                <c:pt idx="2">
                  <c:v>-18</c:v>
                </c:pt>
                <c:pt idx="3">
                  <c:v>-17</c:v>
                </c:pt>
                <c:pt idx="4">
                  <c:v>-16</c:v>
                </c:pt>
                <c:pt idx="5">
                  <c:v>-15</c:v>
                </c:pt>
                <c:pt idx="6">
                  <c:v>-14</c:v>
                </c:pt>
                <c:pt idx="7">
                  <c:v>-13</c:v>
                </c:pt>
                <c:pt idx="8">
                  <c:v>-12</c:v>
                </c:pt>
                <c:pt idx="9">
                  <c:v>-11</c:v>
                </c:pt>
                <c:pt idx="10">
                  <c:v>-10</c:v>
                </c:pt>
                <c:pt idx="11">
                  <c:v>-9</c:v>
                </c:pt>
                <c:pt idx="12">
                  <c:v>-8</c:v>
                </c:pt>
                <c:pt idx="13">
                  <c:v>-7</c:v>
                </c:pt>
                <c:pt idx="14">
                  <c:v>-6</c:v>
                </c:pt>
                <c:pt idx="15">
                  <c:v>-5</c:v>
                </c:pt>
                <c:pt idx="16">
                  <c:v>-4</c:v>
                </c:pt>
                <c:pt idx="17">
                  <c:v>-3</c:v>
                </c:pt>
                <c:pt idx="18">
                  <c:v>-2</c:v>
                </c:pt>
                <c:pt idx="19">
                  <c:v>-1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</c:numCache>
            </c:numRef>
          </c:cat>
          <c:val>
            <c:numRef>
              <c:f>Energiberäkning!$M$42:$M$82</c:f>
              <c:numCache>
                <c:formatCode>0.00</c:formatCode>
                <c:ptCount val="41"/>
                <c:pt idx="0">
                  <c:v>4.6858447488584476</c:v>
                </c:pt>
                <c:pt idx="1">
                  <c:v>4.5658447488584475</c:v>
                </c:pt>
                <c:pt idx="2">
                  <c:v>4.4458447488584474</c:v>
                </c:pt>
                <c:pt idx="3">
                  <c:v>4.3258447488584482</c:v>
                </c:pt>
                <c:pt idx="4">
                  <c:v>4.2058447488584481</c:v>
                </c:pt>
                <c:pt idx="5">
                  <c:v>4.085844748858448</c:v>
                </c:pt>
                <c:pt idx="6">
                  <c:v>3.9658447488584474</c:v>
                </c:pt>
                <c:pt idx="7">
                  <c:v>3.8458447488584473</c:v>
                </c:pt>
                <c:pt idx="8">
                  <c:v>3.7258447488584472</c:v>
                </c:pt>
                <c:pt idx="9">
                  <c:v>3.6058447488584475</c:v>
                </c:pt>
                <c:pt idx="10">
                  <c:v>3.4858447488584474</c:v>
                </c:pt>
                <c:pt idx="11">
                  <c:v>3.3658447488584473</c:v>
                </c:pt>
                <c:pt idx="12">
                  <c:v>3.2458447488584472</c:v>
                </c:pt>
                <c:pt idx="13">
                  <c:v>3.1258447488584475</c:v>
                </c:pt>
                <c:pt idx="14">
                  <c:v>3.0058447488584474</c:v>
                </c:pt>
                <c:pt idx="15">
                  <c:v>2.8858447488584473</c:v>
                </c:pt>
                <c:pt idx="16">
                  <c:v>2.7658447488584472</c:v>
                </c:pt>
                <c:pt idx="17">
                  <c:v>2.6458447488584471</c:v>
                </c:pt>
                <c:pt idx="18">
                  <c:v>2.5258447488584475</c:v>
                </c:pt>
                <c:pt idx="19">
                  <c:v>2.4058447488584473</c:v>
                </c:pt>
                <c:pt idx="20">
                  <c:v>2.2858447488584472</c:v>
                </c:pt>
                <c:pt idx="21">
                  <c:v>2.1658447488584471</c:v>
                </c:pt>
                <c:pt idx="22">
                  <c:v>2.0458447488584475</c:v>
                </c:pt>
                <c:pt idx="23">
                  <c:v>1.9258447488584476</c:v>
                </c:pt>
                <c:pt idx="24">
                  <c:v>1.8058447488584475</c:v>
                </c:pt>
                <c:pt idx="25">
                  <c:v>1.6858447488584476</c:v>
                </c:pt>
                <c:pt idx="26">
                  <c:v>1.5658447488584475</c:v>
                </c:pt>
                <c:pt idx="27">
                  <c:v>1.4458447488584476</c:v>
                </c:pt>
                <c:pt idx="28">
                  <c:v>1.3258447488584475</c:v>
                </c:pt>
                <c:pt idx="29">
                  <c:v>1.2058447488584476</c:v>
                </c:pt>
                <c:pt idx="30">
                  <c:v>1.0858447488584475</c:v>
                </c:pt>
                <c:pt idx="31">
                  <c:v>0.96584474885844762</c:v>
                </c:pt>
                <c:pt idx="32">
                  <c:v>0.84584474885844751</c:v>
                </c:pt>
                <c:pt idx="33">
                  <c:v>0.72584474885844741</c:v>
                </c:pt>
                <c:pt idx="34">
                  <c:v>0.60584474885844752</c:v>
                </c:pt>
                <c:pt idx="35">
                  <c:v>0.48584474885844747</c:v>
                </c:pt>
                <c:pt idx="36">
                  <c:v>0.36584474885844748</c:v>
                </c:pt>
                <c:pt idx="37">
                  <c:v>0.24584474885844748</c:v>
                </c:pt>
                <c:pt idx="38">
                  <c:v>0.12584474885844749</c:v>
                </c:pt>
                <c:pt idx="39">
                  <c:v>5.8447488584474905E-3</c:v>
                </c:pt>
                <c:pt idx="4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80-4A4D-B74F-CD74553F9E21}"/>
            </c:ext>
          </c:extLst>
        </c:ser>
        <c:ser>
          <c:idx val="2"/>
          <c:order val="2"/>
          <c:tx>
            <c:strRef>
              <c:f>Energiberäkning!$N$41</c:f>
              <c:strCache>
                <c:ptCount val="1"/>
                <c:pt idx="0">
                  <c:v>50 m^3/h, FLVP, P_eltillsats + eldn (Pu-Ps-P_hushåll/2+Förluster)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Energiberäkning!$K$42:$K$82</c:f>
              <c:numCache>
                <c:formatCode>0</c:formatCode>
                <c:ptCount val="41"/>
                <c:pt idx="0">
                  <c:v>-20</c:v>
                </c:pt>
                <c:pt idx="1">
                  <c:v>-19</c:v>
                </c:pt>
                <c:pt idx="2">
                  <c:v>-18</c:v>
                </c:pt>
                <c:pt idx="3">
                  <c:v>-17</c:v>
                </c:pt>
                <c:pt idx="4">
                  <c:v>-16</c:v>
                </c:pt>
                <c:pt idx="5">
                  <c:v>-15</c:v>
                </c:pt>
                <c:pt idx="6">
                  <c:v>-14</c:v>
                </c:pt>
                <c:pt idx="7">
                  <c:v>-13</c:v>
                </c:pt>
                <c:pt idx="8">
                  <c:v>-12</c:v>
                </c:pt>
                <c:pt idx="9">
                  <c:v>-11</c:v>
                </c:pt>
                <c:pt idx="10">
                  <c:v>-10</c:v>
                </c:pt>
                <c:pt idx="11">
                  <c:v>-9</c:v>
                </c:pt>
                <c:pt idx="12">
                  <c:v>-8</c:v>
                </c:pt>
                <c:pt idx="13">
                  <c:v>-7</c:v>
                </c:pt>
                <c:pt idx="14">
                  <c:v>-6</c:v>
                </c:pt>
                <c:pt idx="15">
                  <c:v>-5</c:v>
                </c:pt>
                <c:pt idx="16">
                  <c:v>-4</c:v>
                </c:pt>
                <c:pt idx="17">
                  <c:v>-3</c:v>
                </c:pt>
                <c:pt idx="18">
                  <c:v>-2</c:v>
                </c:pt>
                <c:pt idx="19">
                  <c:v>-1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</c:numCache>
            </c:numRef>
          </c:cat>
          <c:val>
            <c:numRef>
              <c:f>Energiberäkning!$N$42:$N$82</c:f>
              <c:numCache>
                <c:formatCode>0.00</c:formatCode>
                <c:ptCount val="41"/>
                <c:pt idx="0">
                  <c:v>5.3858447488584478</c:v>
                </c:pt>
                <c:pt idx="1">
                  <c:v>5.2483447488584476</c:v>
                </c:pt>
                <c:pt idx="2">
                  <c:v>5.1108447488584474</c:v>
                </c:pt>
                <c:pt idx="3">
                  <c:v>4.9733447488584481</c:v>
                </c:pt>
                <c:pt idx="4">
                  <c:v>4.835844748858448</c:v>
                </c:pt>
                <c:pt idx="5">
                  <c:v>4.6983447488584478</c:v>
                </c:pt>
                <c:pt idx="6">
                  <c:v>4.1551629306766298</c:v>
                </c:pt>
                <c:pt idx="7">
                  <c:v>4.0176629306766296</c:v>
                </c:pt>
                <c:pt idx="8">
                  <c:v>3.8801629306766285</c:v>
                </c:pt>
                <c:pt idx="9">
                  <c:v>3.7426629306766293</c:v>
                </c:pt>
                <c:pt idx="10">
                  <c:v>3.6051629306766291</c:v>
                </c:pt>
                <c:pt idx="11">
                  <c:v>3.4676629306766289</c:v>
                </c:pt>
                <c:pt idx="12">
                  <c:v>3.3301629306766287</c:v>
                </c:pt>
                <c:pt idx="13">
                  <c:v>3.1926629306766294</c:v>
                </c:pt>
                <c:pt idx="14">
                  <c:v>3.0551629306766293</c:v>
                </c:pt>
                <c:pt idx="15">
                  <c:v>2.9176629306766291</c:v>
                </c:pt>
                <c:pt idx="16">
                  <c:v>2.7801629306766289</c:v>
                </c:pt>
                <c:pt idx="17">
                  <c:v>2.6426629306766287</c:v>
                </c:pt>
                <c:pt idx="18">
                  <c:v>2.505162930676629</c:v>
                </c:pt>
                <c:pt idx="19">
                  <c:v>2.3676629306766293</c:v>
                </c:pt>
                <c:pt idx="20">
                  <c:v>2.2301629306766291</c:v>
                </c:pt>
                <c:pt idx="21">
                  <c:v>2.0926629306766289</c:v>
                </c:pt>
                <c:pt idx="22">
                  <c:v>1.9551629306766294</c:v>
                </c:pt>
                <c:pt idx="23">
                  <c:v>1.8176629306766292</c:v>
                </c:pt>
                <c:pt idx="24">
                  <c:v>1.680162930676629</c:v>
                </c:pt>
                <c:pt idx="25">
                  <c:v>1.5426629306766293</c:v>
                </c:pt>
                <c:pt idx="26">
                  <c:v>1.4051629306766291</c:v>
                </c:pt>
                <c:pt idx="27">
                  <c:v>1.2676629306766294</c:v>
                </c:pt>
                <c:pt idx="28">
                  <c:v>1.1301629306766292</c:v>
                </c:pt>
                <c:pt idx="29">
                  <c:v>0.99266293067662925</c:v>
                </c:pt>
                <c:pt idx="30">
                  <c:v>0.8551629306766293</c:v>
                </c:pt>
                <c:pt idx="31">
                  <c:v>0.71766293067662934</c:v>
                </c:pt>
                <c:pt idx="32">
                  <c:v>0.58016293067662916</c:v>
                </c:pt>
                <c:pt idx="33">
                  <c:v>0.44266293067662915</c:v>
                </c:pt>
                <c:pt idx="34">
                  <c:v>0.30516293067662925</c:v>
                </c:pt>
                <c:pt idx="35">
                  <c:v>0.1676629306766293</c:v>
                </c:pt>
                <c:pt idx="36">
                  <c:v>3.0162930676629229E-2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80-4A4D-B74F-CD74553F9E21}"/>
            </c:ext>
          </c:extLst>
        </c:ser>
        <c:ser>
          <c:idx val="3"/>
          <c:order val="3"/>
          <c:tx>
            <c:strRef>
              <c:f>Energiberäkning!$O$41</c:f>
              <c:strCache>
                <c:ptCount val="1"/>
                <c:pt idx="0">
                  <c:v>150 m^3/h, FLVP, P_eltillsats + eldn (Pu-Ps-P_hushåll/2+Förluster)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Energiberäkning!$K$42:$K$82</c:f>
              <c:numCache>
                <c:formatCode>0</c:formatCode>
                <c:ptCount val="41"/>
                <c:pt idx="0">
                  <c:v>-20</c:v>
                </c:pt>
                <c:pt idx="1">
                  <c:v>-19</c:v>
                </c:pt>
                <c:pt idx="2">
                  <c:v>-18</c:v>
                </c:pt>
                <c:pt idx="3">
                  <c:v>-17</c:v>
                </c:pt>
                <c:pt idx="4">
                  <c:v>-16</c:v>
                </c:pt>
                <c:pt idx="5">
                  <c:v>-15</c:v>
                </c:pt>
                <c:pt idx="6">
                  <c:v>-14</c:v>
                </c:pt>
                <c:pt idx="7">
                  <c:v>-13</c:v>
                </c:pt>
                <c:pt idx="8">
                  <c:v>-12</c:v>
                </c:pt>
                <c:pt idx="9">
                  <c:v>-11</c:v>
                </c:pt>
                <c:pt idx="10">
                  <c:v>-10</c:v>
                </c:pt>
                <c:pt idx="11">
                  <c:v>-9</c:v>
                </c:pt>
                <c:pt idx="12">
                  <c:v>-8</c:v>
                </c:pt>
                <c:pt idx="13">
                  <c:v>-7</c:v>
                </c:pt>
                <c:pt idx="14">
                  <c:v>-6</c:v>
                </c:pt>
                <c:pt idx="15">
                  <c:v>-5</c:v>
                </c:pt>
                <c:pt idx="16">
                  <c:v>-4</c:v>
                </c:pt>
                <c:pt idx="17">
                  <c:v>-3</c:v>
                </c:pt>
                <c:pt idx="18">
                  <c:v>-2</c:v>
                </c:pt>
                <c:pt idx="19">
                  <c:v>-1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</c:numCache>
            </c:numRef>
          </c:cat>
          <c:val>
            <c:numRef>
              <c:f>Energiberäkning!$O$42:$O$82</c:f>
              <c:numCache>
                <c:formatCode>0.00</c:formatCode>
                <c:ptCount val="41"/>
                <c:pt idx="0">
                  <c:v>6.7858447488584481</c:v>
                </c:pt>
                <c:pt idx="1">
                  <c:v>6.6133447488584469</c:v>
                </c:pt>
                <c:pt idx="2">
                  <c:v>6.4408447488584475</c:v>
                </c:pt>
                <c:pt idx="3">
                  <c:v>6.2683447488584481</c:v>
                </c:pt>
                <c:pt idx="4">
                  <c:v>6.0958447488584477</c:v>
                </c:pt>
                <c:pt idx="5">
                  <c:v>5.9233447488584474</c:v>
                </c:pt>
                <c:pt idx="6">
                  <c:v>4.5337992943129937</c:v>
                </c:pt>
                <c:pt idx="7">
                  <c:v>4.3612992943129933</c:v>
                </c:pt>
                <c:pt idx="8">
                  <c:v>4.188799294312993</c:v>
                </c:pt>
                <c:pt idx="9">
                  <c:v>4.0162992943129936</c:v>
                </c:pt>
                <c:pt idx="10">
                  <c:v>3.8437992943129928</c:v>
                </c:pt>
                <c:pt idx="11">
                  <c:v>3.6712992943129925</c:v>
                </c:pt>
                <c:pt idx="12">
                  <c:v>3.4987992943129931</c:v>
                </c:pt>
                <c:pt idx="13">
                  <c:v>3.3262992943129936</c:v>
                </c:pt>
                <c:pt idx="14">
                  <c:v>3.1537992943129933</c:v>
                </c:pt>
                <c:pt idx="15">
                  <c:v>2.981299294312993</c:v>
                </c:pt>
                <c:pt idx="16">
                  <c:v>2.8087992943129927</c:v>
                </c:pt>
                <c:pt idx="17">
                  <c:v>2.6362992943129924</c:v>
                </c:pt>
                <c:pt idx="18">
                  <c:v>2.4637992943129929</c:v>
                </c:pt>
                <c:pt idx="19">
                  <c:v>2.2912992943129926</c:v>
                </c:pt>
                <c:pt idx="20">
                  <c:v>2.1187992943129932</c:v>
                </c:pt>
                <c:pt idx="21">
                  <c:v>1.9462992943129931</c:v>
                </c:pt>
                <c:pt idx="22">
                  <c:v>1.773799294312993</c:v>
                </c:pt>
                <c:pt idx="23">
                  <c:v>1.6012992943129931</c:v>
                </c:pt>
                <c:pt idx="24">
                  <c:v>1.4287992943129928</c:v>
                </c:pt>
                <c:pt idx="25">
                  <c:v>1.2562992943129929</c:v>
                </c:pt>
                <c:pt idx="26">
                  <c:v>1.083799294312993</c:v>
                </c:pt>
                <c:pt idx="27">
                  <c:v>0.91129929431299317</c:v>
                </c:pt>
                <c:pt idx="28">
                  <c:v>0.73879929431299285</c:v>
                </c:pt>
                <c:pt idx="29">
                  <c:v>0.56629929431299297</c:v>
                </c:pt>
                <c:pt idx="30">
                  <c:v>0.39379929431299304</c:v>
                </c:pt>
                <c:pt idx="31">
                  <c:v>0.22129929431299294</c:v>
                </c:pt>
                <c:pt idx="32">
                  <c:v>4.8799294312992847E-2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80-4A4D-B74F-CD74553F9E21}"/>
            </c:ext>
          </c:extLst>
        </c:ser>
        <c:ser>
          <c:idx val="4"/>
          <c:order val="4"/>
          <c:tx>
            <c:strRef>
              <c:f>Energiberäkning!$P$41</c:f>
              <c:strCache>
                <c:ptCount val="1"/>
                <c:pt idx="0">
                  <c:v>250 m^3/h, FLVP, P_eltillsats + eldn (Pu-Ps-P_hushåll/2+Förluster)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Energiberäkning!$K$42:$K$82</c:f>
              <c:numCache>
                <c:formatCode>0</c:formatCode>
                <c:ptCount val="41"/>
                <c:pt idx="0">
                  <c:v>-20</c:v>
                </c:pt>
                <c:pt idx="1">
                  <c:v>-19</c:v>
                </c:pt>
                <c:pt idx="2">
                  <c:v>-18</c:v>
                </c:pt>
                <c:pt idx="3">
                  <c:v>-17</c:v>
                </c:pt>
                <c:pt idx="4">
                  <c:v>-16</c:v>
                </c:pt>
                <c:pt idx="5">
                  <c:v>-15</c:v>
                </c:pt>
                <c:pt idx="6">
                  <c:v>-14</c:v>
                </c:pt>
                <c:pt idx="7">
                  <c:v>-13</c:v>
                </c:pt>
                <c:pt idx="8">
                  <c:v>-12</c:v>
                </c:pt>
                <c:pt idx="9">
                  <c:v>-11</c:v>
                </c:pt>
                <c:pt idx="10">
                  <c:v>-10</c:v>
                </c:pt>
                <c:pt idx="11">
                  <c:v>-9</c:v>
                </c:pt>
                <c:pt idx="12">
                  <c:v>-8</c:v>
                </c:pt>
                <c:pt idx="13">
                  <c:v>-7</c:v>
                </c:pt>
                <c:pt idx="14">
                  <c:v>-6</c:v>
                </c:pt>
                <c:pt idx="15">
                  <c:v>-5</c:v>
                </c:pt>
                <c:pt idx="16">
                  <c:v>-4</c:v>
                </c:pt>
                <c:pt idx="17">
                  <c:v>-3</c:v>
                </c:pt>
                <c:pt idx="18">
                  <c:v>-2</c:v>
                </c:pt>
                <c:pt idx="19">
                  <c:v>-1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</c:numCache>
            </c:numRef>
          </c:cat>
          <c:val>
            <c:numRef>
              <c:f>Energiberäkning!$P$42:$P$82</c:f>
              <c:numCache>
                <c:formatCode>0.00</c:formatCode>
                <c:ptCount val="41"/>
                <c:pt idx="0">
                  <c:v>8.1858447488584485</c:v>
                </c:pt>
                <c:pt idx="1">
                  <c:v>7.9783447488584471</c:v>
                </c:pt>
                <c:pt idx="2">
                  <c:v>7.7708447488584476</c:v>
                </c:pt>
                <c:pt idx="3">
                  <c:v>7.563344748858448</c:v>
                </c:pt>
                <c:pt idx="4">
                  <c:v>7.3558447488584484</c:v>
                </c:pt>
                <c:pt idx="5">
                  <c:v>7.148344748858448</c:v>
                </c:pt>
                <c:pt idx="6">
                  <c:v>4.9124356579493567</c:v>
                </c:pt>
                <c:pt idx="7">
                  <c:v>4.7049356579493571</c:v>
                </c:pt>
                <c:pt idx="8">
                  <c:v>4.4974356579493566</c:v>
                </c:pt>
                <c:pt idx="9">
                  <c:v>4.2899356579493571</c:v>
                </c:pt>
                <c:pt idx="10">
                  <c:v>4.0824356579493566</c:v>
                </c:pt>
                <c:pt idx="11">
                  <c:v>3.8749356579493566</c:v>
                </c:pt>
                <c:pt idx="12">
                  <c:v>3.6674356579493561</c:v>
                </c:pt>
                <c:pt idx="13">
                  <c:v>3.4599356579493565</c:v>
                </c:pt>
                <c:pt idx="14">
                  <c:v>3.2524356579493561</c:v>
                </c:pt>
                <c:pt idx="15">
                  <c:v>3.0449356579493565</c:v>
                </c:pt>
                <c:pt idx="16">
                  <c:v>2.837435657949356</c:v>
                </c:pt>
                <c:pt idx="17">
                  <c:v>2.6299356579493556</c:v>
                </c:pt>
                <c:pt idx="18">
                  <c:v>2.422435657949356</c:v>
                </c:pt>
                <c:pt idx="19">
                  <c:v>2.2149356579493564</c:v>
                </c:pt>
                <c:pt idx="20">
                  <c:v>2.0074356579493569</c:v>
                </c:pt>
                <c:pt idx="21">
                  <c:v>1.7999356579493566</c:v>
                </c:pt>
                <c:pt idx="22">
                  <c:v>1.592435657949357</c:v>
                </c:pt>
                <c:pt idx="23">
                  <c:v>1.3849356579493566</c:v>
                </c:pt>
                <c:pt idx="24">
                  <c:v>1.1774356579493566</c:v>
                </c:pt>
                <c:pt idx="25">
                  <c:v>0.96993565794935654</c:v>
                </c:pt>
                <c:pt idx="26">
                  <c:v>0.76243565794935653</c:v>
                </c:pt>
                <c:pt idx="27">
                  <c:v>0.55493565794935651</c:v>
                </c:pt>
                <c:pt idx="28">
                  <c:v>0.34743565794935644</c:v>
                </c:pt>
                <c:pt idx="29">
                  <c:v>0.13993565794935642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7380-4A4D-B74F-CD74553F9E21}"/>
            </c:ext>
          </c:extLst>
        </c:ser>
        <c:ser>
          <c:idx val="5"/>
          <c:order val="5"/>
          <c:tx>
            <c:strRef>
              <c:f>Energiberäkning!$Q$41</c:f>
              <c:strCache>
                <c:ptCount val="1"/>
                <c:pt idx="0">
                  <c:v>150 m^3/h, FLVP+LLVP + eldn (Pu-Ps-P_hushåll/2+Förluster)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Energiberäkning!$K$42:$K$82</c:f>
              <c:numCache>
                <c:formatCode>0</c:formatCode>
                <c:ptCount val="41"/>
                <c:pt idx="0">
                  <c:v>-20</c:v>
                </c:pt>
                <c:pt idx="1">
                  <c:v>-19</c:v>
                </c:pt>
                <c:pt idx="2">
                  <c:v>-18</c:v>
                </c:pt>
                <c:pt idx="3">
                  <c:v>-17</c:v>
                </c:pt>
                <c:pt idx="4">
                  <c:v>-16</c:v>
                </c:pt>
                <c:pt idx="5">
                  <c:v>-15</c:v>
                </c:pt>
                <c:pt idx="6">
                  <c:v>-14</c:v>
                </c:pt>
                <c:pt idx="7">
                  <c:v>-13</c:v>
                </c:pt>
                <c:pt idx="8">
                  <c:v>-12</c:v>
                </c:pt>
                <c:pt idx="9">
                  <c:v>-11</c:v>
                </c:pt>
                <c:pt idx="10">
                  <c:v>-10</c:v>
                </c:pt>
                <c:pt idx="11">
                  <c:v>-9</c:v>
                </c:pt>
                <c:pt idx="12">
                  <c:v>-8</c:v>
                </c:pt>
                <c:pt idx="13">
                  <c:v>-7</c:v>
                </c:pt>
                <c:pt idx="14">
                  <c:v>-6</c:v>
                </c:pt>
                <c:pt idx="15">
                  <c:v>-5</c:v>
                </c:pt>
                <c:pt idx="16">
                  <c:v>-4</c:v>
                </c:pt>
                <c:pt idx="17">
                  <c:v>-3</c:v>
                </c:pt>
                <c:pt idx="18">
                  <c:v>-2</c:v>
                </c:pt>
                <c:pt idx="19">
                  <c:v>-1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</c:numCache>
            </c:numRef>
          </c:cat>
          <c:val>
            <c:numRef>
              <c:f>Energiberäkning!$Q$42:$Q$82</c:f>
              <c:numCache>
                <c:formatCode>0.00</c:formatCode>
                <c:ptCount val="41"/>
                <c:pt idx="0">
                  <c:v>2.9412330180810602</c:v>
                </c:pt>
                <c:pt idx="1">
                  <c:v>2.825515713134569</c:v>
                </c:pt>
                <c:pt idx="2">
                  <c:v>2.7119346310982935</c:v>
                </c:pt>
                <c:pt idx="3">
                  <c:v>2.6004897719722346</c:v>
                </c:pt>
                <c:pt idx="4">
                  <c:v>2.4911811357563938</c:v>
                </c:pt>
                <c:pt idx="5">
                  <c:v>2.3840087224507682</c:v>
                </c:pt>
                <c:pt idx="6">
                  <c:v>1.7966758813376567</c:v>
                </c:pt>
                <c:pt idx="7">
                  <c:v>1.7013117990199293</c:v>
                </c:pt>
                <c:pt idx="8">
                  <c:v>1.6080839396124182</c:v>
                </c:pt>
                <c:pt idx="9">
                  <c:v>1.5169923031151242</c:v>
                </c:pt>
                <c:pt idx="10">
                  <c:v>1.4280368895280473</c:v>
                </c:pt>
                <c:pt idx="11">
                  <c:v>1.3412176988511861</c:v>
                </c:pt>
                <c:pt idx="12">
                  <c:v>1.2565347310845421</c:v>
                </c:pt>
                <c:pt idx="13">
                  <c:v>1.1739879862281157</c:v>
                </c:pt>
                <c:pt idx="14">
                  <c:v>1.0935774642819049</c:v>
                </c:pt>
                <c:pt idx="15">
                  <c:v>1.0153031652459108</c:v>
                </c:pt>
                <c:pt idx="16">
                  <c:v>0.93916508912013397</c:v>
                </c:pt>
                <c:pt idx="17">
                  <c:v>0.86516323590457345</c:v>
                </c:pt>
                <c:pt idx="18">
                  <c:v>0.79329760559922979</c:v>
                </c:pt>
                <c:pt idx="19">
                  <c:v>0.72356819820410312</c:v>
                </c:pt>
                <c:pt idx="20">
                  <c:v>0.65597501371919298</c:v>
                </c:pt>
                <c:pt idx="21">
                  <c:v>0.59051805214449937</c:v>
                </c:pt>
                <c:pt idx="22">
                  <c:v>0.52719731348002286</c:v>
                </c:pt>
                <c:pt idx="23">
                  <c:v>0.46601279772576276</c:v>
                </c:pt>
                <c:pt idx="24">
                  <c:v>0.4069645048817192</c:v>
                </c:pt>
                <c:pt idx="25">
                  <c:v>0.3500524349478929</c:v>
                </c:pt>
                <c:pt idx="26">
                  <c:v>0.29527658792428296</c:v>
                </c:pt>
                <c:pt idx="27">
                  <c:v>0.24263696381088978</c:v>
                </c:pt>
                <c:pt idx="28">
                  <c:v>0.19213356260771325</c:v>
                </c:pt>
                <c:pt idx="29">
                  <c:v>0.14376638431475366</c:v>
                </c:pt>
                <c:pt idx="30">
                  <c:v>9.7535428932010643E-2</c:v>
                </c:pt>
                <c:pt idx="31">
                  <c:v>5.3440696459484349E-2</c:v>
                </c:pt>
                <c:pt idx="32">
                  <c:v>1.1482186897174789E-2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7380-4A4D-B74F-CD74553F9E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6966312"/>
        <c:axId val="436966704"/>
      </c:lineChart>
      <c:catAx>
        <c:axId val="43696631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436966704"/>
        <c:crosses val="autoZero"/>
        <c:auto val="1"/>
        <c:lblAlgn val="ctr"/>
        <c:lblOffset val="100"/>
        <c:noMultiLvlLbl val="0"/>
      </c:catAx>
      <c:valAx>
        <c:axId val="43696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436966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v-SE" sz="1800"/>
              <a:t>Beräknad</a:t>
            </a:r>
            <a:r>
              <a:rPr lang="sv-SE" sz="1800" baseline="0"/>
              <a:t> förbrukning FLVP med utan LLVP</a:t>
            </a:r>
            <a:endParaRPr lang="sv-SE" sz="18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strRef>
              <c:f>Energiberäkning!$A$6</c:f>
              <c:strCache>
                <c:ptCount val="1"/>
                <c:pt idx="0">
                  <c:v>Energi värme, FLVP, 150m^^3/h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Energiberäkning!$B$1:$M$1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Maj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Energiberäkning!$B$6:$M$6</c:f>
              <c:numCache>
                <c:formatCode>0</c:formatCode>
                <c:ptCount val="12"/>
                <c:pt idx="0">
                  <c:v>1787.186674968867</c:v>
                </c:pt>
                <c:pt idx="1">
                  <c:v>1520.8684931506846</c:v>
                </c:pt>
                <c:pt idx="2">
                  <c:v>1246.9412204234122</c:v>
                </c:pt>
                <c:pt idx="3">
                  <c:v>836.05031133250327</c:v>
                </c:pt>
                <c:pt idx="4">
                  <c:v>339.14</c:v>
                </c:pt>
                <c:pt idx="5">
                  <c:v>339.14</c:v>
                </c:pt>
                <c:pt idx="6">
                  <c:v>339.14</c:v>
                </c:pt>
                <c:pt idx="7">
                  <c:v>339.14</c:v>
                </c:pt>
                <c:pt idx="8">
                  <c:v>339.14</c:v>
                </c:pt>
                <c:pt idx="9">
                  <c:v>425.15940224159408</c:v>
                </c:pt>
                <c:pt idx="10">
                  <c:v>973.01394769613944</c:v>
                </c:pt>
                <c:pt idx="11">
                  <c:v>1520.8684931506846</c:v>
                </c:pt>
              </c:numCache>
            </c:numRef>
          </c:val>
        </c:ser>
        <c:ser>
          <c:idx val="5"/>
          <c:order val="5"/>
          <c:tx>
            <c:strRef>
              <c:f>Energiberäkning!$A$7</c:f>
              <c:strCache>
                <c:ptCount val="1"/>
                <c:pt idx="0">
                  <c:v>Energi värme, FLVP, 150m^^3/h + LLVP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Energiberäkning!$B$1:$M$1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Maj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Energiberäkning!$B$7:$M$7</c:f>
              <c:numCache>
                <c:formatCode>0</c:formatCode>
                <c:ptCount val="12"/>
                <c:pt idx="0">
                  <c:v>997.51805214449939</c:v>
                </c:pt>
                <c:pt idx="1">
                  <c:v>934.1973134800229</c:v>
                </c:pt>
                <c:pt idx="2">
                  <c:v>813.96450488171922</c:v>
                </c:pt>
                <c:pt idx="3">
                  <c:v>649.63696381088982</c:v>
                </c:pt>
                <c:pt idx="4">
                  <c:v>407</c:v>
                </c:pt>
                <c:pt idx="5">
                  <c:v>407</c:v>
                </c:pt>
                <c:pt idx="6">
                  <c:v>407</c:v>
                </c:pt>
                <c:pt idx="7">
                  <c:v>407</c:v>
                </c:pt>
                <c:pt idx="8">
                  <c:v>407</c:v>
                </c:pt>
                <c:pt idx="9">
                  <c:v>504.53542893201063</c:v>
                </c:pt>
                <c:pt idx="10">
                  <c:v>702.27658792428292</c:v>
                </c:pt>
                <c:pt idx="11">
                  <c:v>934.1973134800229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6969056"/>
        <c:axId val="43697023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Energiberäkning!$A$2</c15:sqref>
                        </c15:formulaRef>
                      </c:ext>
                    </c:extLst>
                    <c:strCache>
                      <c:ptCount val="1"/>
                      <c:pt idx="0">
                        <c:v>Medeltemperatur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Energiberäkning!$B$1:$M$1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Maj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Okt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Energiberäkning!$B$2:$M$2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1.3</c:v>
                      </c:pt>
                      <c:pt idx="1">
                        <c:v>2</c:v>
                      </c:pt>
                      <c:pt idx="2">
                        <c:v>4</c:v>
                      </c:pt>
                      <c:pt idx="3">
                        <c:v>7</c:v>
                      </c:pt>
                      <c:pt idx="4">
                        <c:v>13</c:v>
                      </c:pt>
                      <c:pt idx="5">
                        <c:v>17</c:v>
                      </c:pt>
                      <c:pt idx="6">
                        <c:v>19</c:v>
                      </c:pt>
                      <c:pt idx="7">
                        <c:v>18</c:v>
                      </c:pt>
                      <c:pt idx="8">
                        <c:v>14</c:v>
                      </c:pt>
                      <c:pt idx="9">
                        <c:v>10</c:v>
                      </c:pt>
                      <c:pt idx="10">
                        <c:v>6</c:v>
                      </c:pt>
                      <c:pt idx="11">
                        <c:v>2</c:v>
                      </c:pt>
                    </c:numCache>
                  </c:numRef>
                </c:val>
              </c15:ser>
            </c15:filteredBarSeries>
            <c15:filteredBar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Energiberäkning!$A$3</c15:sqref>
                        </c15:formulaRef>
                      </c:ext>
                    </c:extLst>
                    <c:strCache>
                      <c:ptCount val="1"/>
                      <c:pt idx="0">
                        <c:v>Effektbehov värme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Energiberäkning!$B$1:$M$1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Maj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Okt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Energiberäkning!$B$3:$M$3</c15:sqref>
                        </c15:formulaRef>
                      </c:ext>
                    </c:extLst>
                    <c:numCache>
                      <c:formatCode>0</c:formatCode>
                      <c:ptCount val="12"/>
                      <c:pt idx="0">
                        <c:v>2493.7003466666665</c:v>
                      </c:pt>
                      <c:pt idx="1">
                        <c:v>2411.9918666666663</c:v>
                      </c:pt>
                      <c:pt idx="2">
                        <c:v>2178.5390666666667</c:v>
                      </c:pt>
                      <c:pt idx="3">
                        <c:v>1828.3598666666667</c:v>
                      </c:pt>
                      <c:pt idx="4">
                        <c:v>1128.0014666666666</c:v>
                      </c:pt>
                      <c:pt idx="5">
                        <c:v>661.09586666666667</c:v>
                      </c:pt>
                      <c:pt idx="6">
                        <c:v>427.6430666666667</c:v>
                      </c:pt>
                      <c:pt idx="7">
                        <c:v>544.36946666666665</c:v>
                      </c:pt>
                      <c:pt idx="8">
                        <c:v>1011.2750666666666</c:v>
                      </c:pt>
                      <c:pt idx="9">
                        <c:v>1478.1806666666666</c:v>
                      </c:pt>
                      <c:pt idx="10">
                        <c:v>1945.0862666666667</c:v>
                      </c:pt>
                      <c:pt idx="11">
                        <c:v>2411.9918666666663</c:v>
                      </c:pt>
                    </c:numCache>
                  </c:numRef>
                </c:val>
              </c15:ser>
            </c15:filteredBarSeries>
            <c15:filteredBar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Energiberäkning!$A$4</c15:sqref>
                        </c15:formulaRef>
                      </c:ext>
                    </c:extLst>
                    <c:strCache>
                      <c:ptCount val="1"/>
                      <c:pt idx="0">
                        <c:v>Energi värme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Energiberäkning!$B$1:$M$1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Maj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Okt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Energiberäkning!$B$4:$M$4</c15:sqref>
                        </c15:formulaRef>
                      </c:ext>
                    </c:extLst>
                    <c:numCache>
                      <c:formatCode>0</c:formatCode>
                      <c:ptCount val="12"/>
                      <c:pt idx="0">
                        <c:v>1855.3130579199999</c:v>
                      </c:pt>
                      <c:pt idx="1">
                        <c:v>1620.8585343999998</c:v>
                      </c:pt>
                      <c:pt idx="2">
                        <c:v>1620.8330656000001</c:v>
                      </c:pt>
                      <c:pt idx="3">
                        <c:v>1316.4191040000001</c:v>
                      </c:pt>
                      <c:pt idx="4">
                        <c:v>839.2330912000001</c:v>
                      </c:pt>
                      <c:pt idx="5">
                        <c:v>475.98902399999997</c:v>
                      </c:pt>
                      <c:pt idx="6">
                        <c:v>318.16644160000004</c:v>
                      </c:pt>
                      <c:pt idx="7">
                        <c:v>405.01088319999997</c:v>
                      </c:pt>
                      <c:pt idx="8">
                        <c:v>728.11804799999993</c:v>
                      </c:pt>
                      <c:pt idx="9">
                        <c:v>1099.7664159999999</c:v>
                      </c:pt>
                      <c:pt idx="10">
                        <c:v>1400.4621119999999</c:v>
                      </c:pt>
                      <c:pt idx="11">
                        <c:v>1794.5219488</c:v>
                      </c:pt>
                    </c:numCache>
                  </c:numRef>
                </c:val>
              </c15:ser>
            </c15:filteredBarSeries>
            <c15:filteredBar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Energiberäkning!$A$5</c15:sqref>
                        </c15:formulaRef>
                      </c:ext>
                    </c:extLst>
                    <c:strCache>
                      <c:ptCount val="1"/>
                      <c:pt idx="0">
                        <c:v>Effekt värme, baserat på nedan kalkyl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Energiberäkning!$B$1:$M$1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Maj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Okt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Energiberäkning!$B$5:$M$5</c15:sqref>
                        </c15:formulaRef>
                      </c:ext>
                    </c:extLst>
                    <c:numCache>
                      <c:formatCode>0</c:formatCode>
                      <c:ptCount val="12"/>
                      <c:pt idx="0">
                        <c:v>2402.1326276463265</c:v>
                      </c:pt>
                      <c:pt idx="1">
                        <c:v>2044.1780821917807</c:v>
                      </c:pt>
                      <c:pt idx="2">
                        <c:v>1675.9962640099625</c:v>
                      </c:pt>
                      <c:pt idx="3">
                        <c:v>1123.7235367372355</c:v>
                      </c:pt>
                      <c:pt idx="4">
                        <c:v>455.83333333333331</c:v>
                      </c:pt>
                      <c:pt idx="5">
                        <c:v>455.83333333333331</c:v>
                      </c:pt>
                      <c:pt idx="6">
                        <c:v>455.83333333333331</c:v>
                      </c:pt>
                      <c:pt idx="7">
                        <c:v>455.83333333333331</c:v>
                      </c:pt>
                      <c:pt idx="8">
                        <c:v>455.83333333333331</c:v>
                      </c:pt>
                      <c:pt idx="9">
                        <c:v>571.45080946450821</c:v>
                      </c:pt>
                      <c:pt idx="10">
                        <c:v>1307.8144458281445</c:v>
                      </c:pt>
                      <c:pt idx="11">
                        <c:v>2044.1780821917807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436969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436970232"/>
        <c:crosses val="autoZero"/>
        <c:auto val="1"/>
        <c:lblAlgn val="ctr"/>
        <c:lblOffset val="100"/>
        <c:noMultiLvlLbl val="0"/>
      </c:catAx>
      <c:valAx>
        <c:axId val="436970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436969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74095</xdr:colOff>
      <xdr:row>2</xdr:row>
      <xdr:rowOff>114301</xdr:rowOff>
    </xdr:from>
    <xdr:to>
      <xdr:col>17</xdr:col>
      <xdr:colOff>557188</xdr:colOff>
      <xdr:row>15</xdr:row>
      <xdr:rowOff>45079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6817" y="488245"/>
          <a:ext cx="2987815" cy="23226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105833</xdr:colOff>
      <xdr:row>15</xdr:row>
      <xdr:rowOff>148166</xdr:rowOff>
    </xdr:from>
    <xdr:to>
      <xdr:col>19</xdr:col>
      <xdr:colOff>437444</xdr:colOff>
      <xdr:row>36</xdr:row>
      <xdr:rowOff>93270</xdr:rowOff>
    </xdr:to>
    <xdr:grpSp>
      <xdr:nvGrpSpPr>
        <xdr:cNvPr id="7" name="Grupp 6"/>
        <xdr:cNvGrpSpPr/>
      </xdr:nvGrpSpPr>
      <xdr:grpSpPr>
        <a:xfrm>
          <a:off x="7422444" y="2913944"/>
          <a:ext cx="7366000" cy="3797437"/>
          <a:chOff x="12394420" y="5018051"/>
          <a:chExt cx="7701139" cy="3903134"/>
        </a:xfrm>
      </xdr:grpSpPr>
      <xdr:graphicFrame macro="">
        <xdr:nvGraphicFramePr>
          <xdr:cNvPr id="3" name="Diagram 2">
            <a:extLst>
              <a:ext uri="{FF2B5EF4-FFF2-40B4-BE49-F238E27FC236}">
                <a16:creationId xmlns:a16="http://schemas.microsoft.com/office/drawing/2014/main" xmlns="" id="{DB9CBF81-091C-F385-9B1C-FDB9B8949CF0}"/>
              </a:ext>
            </a:extLst>
          </xdr:cNvPr>
          <xdr:cNvGraphicFramePr>
            <a:graphicFrameLocks/>
          </xdr:cNvGraphicFramePr>
        </xdr:nvGraphicFramePr>
        <xdr:xfrm>
          <a:off x="12394420" y="5018051"/>
          <a:ext cx="7701139" cy="390313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4" name="Rundad rektangulär 3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SpPr/>
        </xdr:nvSpPr>
        <xdr:spPr>
          <a:xfrm>
            <a:off x="17377071" y="6029426"/>
            <a:ext cx="2501196" cy="524934"/>
          </a:xfrm>
          <a:prstGeom prst="wedgeRoundRectCallout">
            <a:avLst>
              <a:gd name="adj1" fmla="val -74055"/>
              <a:gd name="adj2" fmla="val 83107"/>
              <a:gd name="adj3" fmla="val 16667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sv-SE" sz="1100"/>
              <a:t>FLVP ger mer tillskott med ökande luftflöde över ca -2 grader</a:t>
            </a:r>
          </a:p>
        </xdr:txBody>
      </xdr:sp>
      <xdr:sp macro="" textlink="">
        <xdr:nvSpPr>
          <xdr:cNvPr id="5" name="Rundad rektangulär 4">
            <a:extLst>
              <a:ext uri="{FF2B5EF4-FFF2-40B4-BE49-F238E27FC236}">
                <a16:creationId xmlns:a16="http://schemas.microsoft.com/office/drawing/2014/main" xmlns="" id="{00000000-0008-0000-0000-000008000000}"/>
              </a:ext>
            </a:extLst>
          </xdr:cNvPr>
          <xdr:cNvSpPr/>
        </xdr:nvSpPr>
        <xdr:spPr>
          <a:xfrm>
            <a:off x="14671029" y="5423215"/>
            <a:ext cx="4040716" cy="531989"/>
          </a:xfrm>
          <a:prstGeom prst="wedgeRoundRectCallout">
            <a:avLst>
              <a:gd name="adj1" fmla="val -51979"/>
              <a:gd name="adj2" fmla="val 129166"/>
              <a:gd name="adj3" fmla="val 16667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r>
              <a:rPr lang="sv-SE" sz="1100"/>
              <a:t>Temp avluft satt till -5 och FLVP ger inget tillskott vid utetemp under denna, därav höjningen under -14</a:t>
            </a:r>
          </a:p>
        </xdr:txBody>
      </xdr:sp>
    </xdr:grpSp>
    <xdr:clientData/>
  </xdr:twoCellAnchor>
  <xdr:twoCellAnchor>
    <xdr:from>
      <xdr:col>0</xdr:col>
      <xdr:colOff>9525</xdr:colOff>
      <xdr:row>16</xdr:row>
      <xdr:rowOff>91722</xdr:rowOff>
    </xdr:from>
    <xdr:to>
      <xdr:col>8</xdr:col>
      <xdr:colOff>21168</xdr:colOff>
      <xdr:row>29</xdr:row>
      <xdr:rowOff>21168</xdr:rowOff>
    </xdr:to>
    <xdr:graphicFrame macro="">
      <xdr:nvGraphicFramePr>
        <xdr:cNvPr id="6" name="Diagra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nergikalkyl-0.42_ny_effek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giberäkning"/>
      <sheetName val="Energideklaration"/>
      <sheetName val="Solceller prod"/>
      <sheetName val="Paneler"/>
      <sheetName val="Bilder"/>
      <sheetName val="Gbg-energi"/>
      <sheetName val="Gbg-energi John"/>
      <sheetName val="Gbg-energi utan sol"/>
      <sheetName val="Spotpriser"/>
      <sheetName val="Tim_vs_rörl"/>
      <sheetName val="elbil"/>
    </sheetNames>
    <sheetDataSet>
      <sheetData sheetId="0">
        <row r="1">
          <cell r="B1" t="str">
            <v>Jan</v>
          </cell>
          <cell r="C1" t="str">
            <v>Feb</v>
          </cell>
          <cell r="D1" t="str">
            <v>Mar</v>
          </cell>
          <cell r="E1" t="str">
            <v>Apr</v>
          </cell>
          <cell r="F1" t="str">
            <v>Maj</v>
          </cell>
          <cell r="G1" t="str">
            <v>Jun</v>
          </cell>
          <cell r="H1" t="str">
            <v>Jul</v>
          </cell>
          <cell r="I1" t="str">
            <v>Aug</v>
          </cell>
          <cell r="J1" t="str">
            <v>Sep</v>
          </cell>
          <cell r="K1" t="str">
            <v>Okt</v>
          </cell>
          <cell r="L1" t="str">
            <v>Nov</v>
          </cell>
          <cell r="M1" t="str">
            <v>Dec</v>
          </cell>
        </row>
        <row r="2">
          <cell r="A2" t="str">
            <v>Medeltemperatur</v>
          </cell>
          <cell r="B2">
            <v>1.3</v>
          </cell>
          <cell r="C2">
            <v>2</v>
          </cell>
          <cell r="D2">
            <v>4</v>
          </cell>
          <cell r="E2">
            <v>7</v>
          </cell>
          <cell r="F2">
            <v>13</v>
          </cell>
          <cell r="G2">
            <v>17</v>
          </cell>
          <cell r="H2">
            <v>19</v>
          </cell>
          <cell r="I2">
            <v>18</v>
          </cell>
          <cell r="J2">
            <v>14</v>
          </cell>
          <cell r="K2">
            <v>10</v>
          </cell>
          <cell r="L2">
            <v>6</v>
          </cell>
          <cell r="M2">
            <v>2</v>
          </cell>
        </row>
        <row r="3">
          <cell r="A3" t="str">
            <v>Effektbehov värme</v>
          </cell>
          <cell r="B3">
            <v>2493.7003466666665</v>
          </cell>
          <cell r="C3">
            <v>2411.9918666666663</v>
          </cell>
          <cell r="D3">
            <v>2178.5390666666667</v>
          </cell>
          <cell r="E3">
            <v>1828.3598666666667</v>
          </cell>
          <cell r="F3">
            <v>1128.0014666666666</v>
          </cell>
          <cell r="G3">
            <v>661.09586666666667</v>
          </cell>
          <cell r="H3">
            <v>427.6430666666667</v>
          </cell>
          <cell r="I3">
            <v>544.36946666666665</v>
          </cell>
          <cell r="J3">
            <v>1011.2750666666666</v>
          </cell>
          <cell r="K3">
            <v>1478.1806666666666</v>
          </cell>
          <cell r="L3">
            <v>1945.0862666666667</v>
          </cell>
          <cell r="M3">
            <v>2411.9918666666663</v>
          </cell>
        </row>
        <row r="4">
          <cell r="A4" t="str">
            <v>Energi värme</v>
          </cell>
          <cell r="B4">
            <v>1855.3130579199999</v>
          </cell>
          <cell r="C4">
            <v>1620.8585343999998</v>
          </cell>
          <cell r="D4">
            <v>1620.8330656000001</v>
          </cell>
          <cell r="E4">
            <v>1316.4191040000001</v>
          </cell>
          <cell r="F4">
            <v>839.2330912000001</v>
          </cell>
          <cell r="G4">
            <v>475.98902399999997</v>
          </cell>
          <cell r="H4">
            <v>318.16644160000004</v>
          </cell>
          <cell r="I4">
            <v>405.01088319999997</v>
          </cell>
          <cell r="J4">
            <v>728.11804799999993</v>
          </cell>
          <cell r="K4">
            <v>1099.7664159999999</v>
          </cell>
          <cell r="L4">
            <v>1400.4621119999999</v>
          </cell>
          <cell r="M4">
            <v>1794.5219488</v>
          </cell>
        </row>
        <row r="5">
          <cell r="A5" t="str">
            <v>Effekt värme, baserat på nedan kalkyl</v>
          </cell>
          <cell r="B5">
            <v>2339.9342276463262</v>
          </cell>
          <cell r="C5">
            <v>1985.2532821917805</v>
          </cell>
          <cell r="D5">
            <v>1623.6186640099627</v>
          </cell>
          <cell r="E5">
            <v>1081.1667367372354</v>
          </cell>
          <cell r="F5">
            <v>455.83333333333331</v>
          </cell>
          <cell r="G5">
            <v>455.83333333333331</v>
          </cell>
          <cell r="H5">
            <v>455.83333333333331</v>
          </cell>
          <cell r="I5">
            <v>455.83333333333331</v>
          </cell>
          <cell r="J5">
            <v>455.83333333333331</v>
          </cell>
          <cell r="K5">
            <v>538.71480946450799</v>
          </cell>
          <cell r="L5">
            <v>1261.9840458281442</v>
          </cell>
          <cell r="M5">
            <v>1985.2532821917805</v>
          </cell>
        </row>
        <row r="6">
          <cell r="A6" t="str">
            <v>Energi värme, FLVP, 150m^^3/h</v>
          </cell>
          <cell r="B6">
            <v>1740.9110653688667</v>
          </cell>
          <cell r="C6">
            <v>1477.0284419506847</v>
          </cell>
          <cell r="D6">
            <v>1207.9722860234124</v>
          </cell>
          <cell r="E6">
            <v>804.38805213250305</v>
          </cell>
          <cell r="F6">
            <v>339.14</v>
          </cell>
          <cell r="G6">
            <v>339.14</v>
          </cell>
          <cell r="H6">
            <v>339.14</v>
          </cell>
          <cell r="I6">
            <v>339.14</v>
          </cell>
          <cell r="J6">
            <v>339.14</v>
          </cell>
          <cell r="K6">
            <v>400.80381824159394</v>
          </cell>
          <cell r="L6">
            <v>938.91613009613934</v>
          </cell>
          <cell r="M6">
            <v>1477.0284419506847</v>
          </cell>
        </row>
        <row r="7">
          <cell r="A7" t="str">
            <v>Energi värme, FLVP, 150m^^3/h + LLVP</v>
          </cell>
          <cell r="B7">
            <v>978.64671096802863</v>
          </cell>
          <cell r="C7">
            <v>916.68406022924887</v>
          </cell>
          <cell r="D7">
            <v>799.04580766809704</v>
          </cell>
          <cell r="E7">
            <v>638.30605111739123</v>
          </cell>
          <cell r="F7">
            <v>407</v>
          </cell>
          <cell r="G7">
            <v>407</v>
          </cell>
          <cell r="H7">
            <v>407</v>
          </cell>
          <cell r="I7">
            <v>407</v>
          </cell>
          <cell r="J7">
            <v>407</v>
          </cell>
          <cell r="K7">
            <v>496.42744131591149</v>
          </cell>
          <cell r="L7">
            <v>689.79028699549031</v>
          </cell>
          <cell r="M7">
            <v>916.68406022924887</v>
          </cell>
        </row>
        <row r="48">
          <cell r="L48" t="str">
            <v>Ingen FLVP, 150m^3/h</v>
          </cell>
          <cell r="M48" t="str">
            <v>0 m^3/h, FLVP, P_eltillsats + eldn (Pu-Ps-P_hushåll/2+Förluster)</v>
          </cell>
          <cell r="N48" t="str">
            <v>50 m^3/h, FLVP, P_eltillsats + eldn (Pu-Ps-P_hushåll/2+Förluster)</v>
          </cell>
          <cell r="O48" t="str">
            <v>150 m^3/h, FLVP, P_eltillsats + eldn (Pu-Ps-P_hushåll/2+Förluster)</v>
          </cell>
          <cell r="P48" t="str">
            <v>250 m^3/h, FLVP, P_eltillsats + eldn (Pu-Ps-P_hushåll/2+Förluster)</v>
          </cell>
          <cell r="Q48" t="str">
            <v>150 m^3/h, FLVP+LLVP + eldn (Pu-Ps-P_hushåll/2+Förluster)</v>
          </cell>
        </row>
        <row r="49">
          <cell r="K49">
            <v>-20</v>
          </cell>
          <cell r="L49">
            <v>6.6549007488584468</v>
          </cell>
          <cell r="M49">
            <v>4.5549007488584472</v>
          </cell>
          <cell r="N49">
            <v>5.2549007488584474</v>
          </cell>
          <cell r="O49">
            <v>6.6549007488584468</v>
          </cell>
          <cell r="P49">
            <v>8.0549007488584472</v>
          </cell>
          <cell r="Q49">
            <v>2.8844771047683664</v>
          </cell>
        </row>
        <row r="50">
          <cell r="K50">
            <v>-19</v>
          </cell>
          <cell r="L50">
            <v>6.4856743488584474</v>
          </cell>
          <cell r="M50">
            <v>4.438174348858448</v>
          </cell>
          <cell r="N50">
            <v>5.1206743488584481</v>
          </cell>
          <cell r="O50">
            <v>6.4856743488584474</v>
          </cell>
          <cell r="P50">
            <v>7.8506743488584476</v>
          </cell>
          <cell r="Q50">
            <v>2.7709692264472627</v>
          </cell>
        </row>
        <row r="51">
          <cell r="K51">
            <v>-18</v>
          </cell>
          <cell r="L51">
            <v>6.3164479488584471</v>
          </cell>
          <cell r="M51">
            <v>4.321447948858447</v>
          </cell>
          <cell r="N51">
            <v>4.986447948858447</v>
          </cell>
          <cell r="O51">
            <v>6.3164479488584471</v>
          </cell>
          <cell r="P51">
            <v>7.6464479488584463</v>
          </cell>
          <cell r="Q51">
            <v>2.6595570310982937</v>
          </cell>
        </row>
        <row r="52">
          <cell r="K52">
            <v>-17</v>
          </cell>
          <cell r="L52">
            <v>6.1472215488584476</v>
          </cell>
          <cell r="M52">
            <v>4.2047215488584477</v>
          </cell>
          <cell r="N52">
            <v>4.8522215488584477</v>
          </cell>
          <cell r="O52">
            <v>6.1472215488584476</v>
          </cell>
          <cell r="P52">
            <v>7.4422215488584476</v>
          </cell>
          <cell r="Q52">
            <v>2.5502405187214605</v>
          </cell>
        </row>
        <row r="53">
          <cell r="K53">
            <v>-16</v>
          </cell>
          <cell r="L53">
            <v>5.9779951488584473</v>
          </cell>
          <cell r="M53">
            <v>4.0879951488584476</v>
          </cell>
          <cell r="N53">
            <v>4.7179951488584475</v>
          </cell>
          <cell r="O53">
            <v>5.9779951488584473</v>
          </cell>
          <cell r="P53">
            <v>7.2379951488584471</v>
          </cell>
          <cell r="Q53">
            <v>2.4430196893167651</v>
          </cell>
        </row>
        <row r="54">
          <cell r="K54">
            <v>-15</v>
          </cell>
          <cell r="L54">
            <v>5.8087687488584479</v>
          </cell>
          <cell r="M54">
            <v>3.9712687488584471</v>
          </cell>
          <cell r="N54">
            <v>4.5837687488584473</v>
          </cell>
          <cell r="O54">
            <v>5.8087687488584479</v>
          </cell>
          <cell r="P54">
            <v>7.0337687488584475</v>
          </cell>
          <cell r="Q54">
            <v>2.3378945428842051</v>
          </cell>
        </row>
        <row r="55">
          <cell r="K55">
            <v>-14</v>
          </cell>
          <cell r="L55">
            <v>5.6395423488584475</v>
          </cell>
          <cell r="M55">
            <v>3.8545423488584474</v>
          </cell>
          <cell r="N55">
            <v>4.0438605306766302</v>
          </cell>
          <cell r="O55">
            <v>4.4224968943129932</v>
          </cell>
          <cell r="P55">
            <v>4.8011332579493571</v>
          </cell>
          <cell r="Q55">
            <v>1.7525684287060774</v>
          </cell>
        </row>
        <row r="56">
          <cell r="K56">
            <v>-13</v>
          </cell>
          <cell r="L56">
            <v>5.4703159488584472</v>
          </cell>
          <cell r="M56">
            <v>3.7378159488584473</v>
          </cell>
          <cell r="N56">
            <v>3.9096341306766296</v>
          </cell>
          <cell r="O56">
            <v>4.2532704943129929</v>
          </cell>
          <cell r="P56">
            <v>4.5969068579493566</v>
          </cell>
          <cell r="Q56">
            <v>1.6591705333852542</v>
          </cell>
        </row>
        <row r="57">
          <cell r="K57">
            <v>-12</v>
          </cell>
          <cell r="L57">
            <v>5.3010895488584477</v>
          </cell>
          <cell r="M57">
            <v>3.6210895488584471</v>
          </cell>
          <cell r="N57">
            <v>3.7754077306766289</v>
          </cell>
          <cell r="O57">
            <v>4.0840440943129934</v>
          </cell>
          <cell r="P57">
            <v>4.3926804579493561</v>
          </cell>
          <cell r="Q57">
            <v>1.5678683210365671</v>
          </cell>
        </row>
        <row r="58">
          <cell r="K58">
            <v>-11</v>
          </cell>
          <cell r="L58">
            <v>5.1318631488584483</v>
          </cell>
          <cell r="M58">
            <v>3.5043631488584475</v>
          </cell>
          <cell r="N58">
            <v>3.6411813306766287</v>
          </cell>
          <cell r="O58">
            <v>3.9148176943129935</v>
          </cell>
          <cell r="P58">
            <v>4.1884540579493565</v>
          </cell>
          <cell r="Q58">
            <v>1.478661791660016</v>
          </cell>
        </row>
        <row r="59">
          <cell r="K59">
            <v>-10</v>
          </cell>
          <cell r="L59">
            <v>4.962636748858448</v>
          </cell>
          <cell r="M59">
            <v>3.3876367488584473</v>
          </cell>
          <cell r="N59">
            <v>3.5069549306766294</v>
          </cell>
          <cell r="O59">
            <v>3.7455912943129932</v>
          </cell>
          <cell r="P59">
            <v>3.9842276579493565</v>
          </cell>
          <cell r="Q59">
            <v>1.3915509452556016</v>
          </cell>
        </row>
        <row r="60">
          <cell r="K60">
            <v>-9</v>
          </cell>
          <cell r="L60">
            <v>4.7934103488584476</v>
          </cell>
          <cell r="M60">
            <v>3.2709103488584472</v>
          </cell>
          <cell r="N60">
            <v>3.3727285306766288</v>
          </cell>
          <cell r="O60">
            <v>3.5763648943129929</v>
          </cell>
          <cell r="P60">
            <v>3.780001257949356</v>
          </cell>
          <cell r="Q60">
            <v>1.3065357818233225</v>
          </cell>
        </row>
        <row r="61">
          <cell r="K61">
            <v>-8</v>
          </cell>
          <cell r="L61">
            <v>4.6241839488584473</v>
          </cell>
          <cell r="M61">
            <v>3.1541839488584471</v>
          </cell>
          <cell r="N61">
            <v>3.2385021306766286</v>
          </cell>
          <cell r="O61">
            <v>3.4071384943129925</v>
          </cell>
          <cell r="P61">
            <v>3.5757748579493556</v>
          </cell>
          <cell r="Q61">
            <v>1.2236163013631796</v>
          </cell>
        </row>
        <row r="62">
          <cell r="K62">
            <v>-7</v>
          </cell>
          <cell r="L62">
            <v>4.454957548858447</v>
          </cell>
          <cell r="M62">
            <v>3.037457548858447</v>
          </cell>
          <cell r="N62">
            <v>3.1042757306766289</v>
          </cell>
          <cell r="O62">
            <v>3.2379120943129922</v>
          </cell>
          <cell r="P62">
            <v>3.371548457949356</v>
          </cell>
          <cell r="Q62">
            <v>1.1427925038751741</v>
          </cell>
        </row>
        <row r="63">
          <cell r="K63">
            <v>-6</v>
          </cell>
          <cell r="L63">
            <v>4.2857311488584475</v>
          </cell>
          <cell r="M63">
            <v>2.9207311488584473</v>
          </cell>
          <cell r="N63">
            <v>2.9700493306766291</v>
          </cell>
          <cell r="O63">
            <v>3.0686856943129928</v>
          </cell>
          <cell r="P63">
            <v>3.1673220579493564</v>
          </cell>
          <cell r="Q63">
            <v>1.064064389359304</v>
          </cell>
        </row>
        <row r="64">
          <cell r="K64">
            <v>-5</v>
          </cell>
          <cell r="L64">
            <v>4.1165047488584481</v>
          </cell>
          <cell r="M64">
            <v>2.8040047488584472</v>
          </cell>
          <cell r="N64">
            <v>2.8358229306766289</v>
          </cell>
          <cell r="O64">
            <v>2.8994592943129933</v>
          </cell>
          <cell r="P64">
            <v>2.9630956579493568</v>
          </cell>
          <cell r="Q64">
            <v>0.98743195781557025</v>
          </cell>
        </row>
        <row r="65">
          <cell r="K65">
            <v>-4</v>
          </cell>
          <cell r="L65">
            <v>3.9472783488584473</v>
          </cell>
          <cell r="M65">
            <v>2.6872783488584471</v>
          </cell>
          <cell r="N65">
            <v>2.7015965306766287</v>
          </cell>
          <cell r="O65">
            <v>2.730232894312993</v>
          </cell>
          <cell r="P65">
            <v>2.7588692579493554</v>
          </cell>
          <cell r="Q65">
            <v>0.91289520924397305</v>
          </cell>
        </row>
        <row r="66">
          <cell r="K66">
            <v>-3</v>
          </cell>
          <cell r="L66">
            <v>3.778051948858447</v>
          </cell>
          <cell r="M66">
            <v>2.570551948858447</v>
          </cell>
          <cell r="N66">
            <v>2.5673701306766286</v>
          </cell>
          <cell r="O66">
            <v>2.5610064943129927</v>
          </cell>
          <cell r="P66">
            <v>2.5546428579493559</v>
          </cell>
          <cell r="Q66">
            <v>0.84045414364451165</v>
          </cell>
        </row>
        <row r="67">
          <cell r="K67">
            <v>-2</v>
          </cell>
          <cell r="L67">
            <v>3.6088255488584475</v>
          </cell>
          <cell r="M67">
            <v>2.4538255488584473</v>
          </cell>
          <cell r="N67">
            <v>2.4331437306766288</v>
          </cell>
          <cell r="O67">
            <v>2.3917800943129932</v>
          </cell>
          <cell r="P67">
            <v>2.3504164579493563</v>
          </cell>
          <cell r="Q67">
            <v>0.7701087610171865</v>
          </cell>
        </row>
        <row r="68">
          <cell r="K68">
            <v>-1</v>
          </cell>
          <cell r="L68">
            <v>3.4395991488584472</v>
          </cell>
          <cell r="M68">
            <v>2.3370991488584472</v>
          </cell>
          <cell r="N68">
            <v>2.2989173306766286</v>
          </cell>
          <cell r="O68">
            <v>2.2225536943129929</v>
          </cell>
          <cell r="P68">
            <v>2.1461900579493567</v>
          </cell>
          <cell r="Q68">
            <v>0.70185906136199794</v>
          </cell>
        </row>
        <row r="69">
          <cell r="K69">
            <v>0</v>
          </cell>
          <cell r="L69">
            <v>3.2703727488584469</v>
          </cell>
          <cell r="M69">
            <v>2.220372748858447</v>
          </cell>
          <cell r="N69">
            <v>2.1646909306766289</v>
          </cell>
          <cell r="O69">
            <v>2.0533272943129925</v>
          </cell>
          <cell r="P69">
            <v>1.9419636579493564</v>
          </cell>
          <cell r="Q69">
            <v>0.63570504467894506</v>
          </cell>
        </row>
        <row r="70">
          <cell r="K70">
            <v>1</v>
          </cell>
          <cell r="L70">
            <v>3.101146348858447</v>
          </cell>
          <cell r="M70">
            <v>2.1036463488584469</v>
          </cell>
          <cell r="N70">
            <v>2.0304645306766287</v>
          </cell>
          <cell r="O70">
            <v>1.8841008943129927</v>
          </cell>
          <cell r="P70">
            <v>1.737737257949356</v>
          </cell>
          <cell r="Q70">
            <v>0.57164671096802866</v>
          </cell>
        </row>
        <row r="71">
          <cell r="K71">
            <v>2</v>
          </cell>
          <cell r="L71">
            <v>2.9319199488584471</v>
          </cell>
          <cell r="M71">
            <v>1.9869199488584475</v>
          </cell>
          <cell r="N71">
            <v>1.8962381306766292</v>
          </cell>
          <cell r="O71">
            <v>1.7148744943129928</v>
          </cell>
          <cell r="P71">
            <v>1.5335108579493564</v>
          </cell>
          <cell r="Q71">
            <v>0.50968406022924884</v>
          </cell>
        </row>
        <row r="72">
          <cell r="K72">
            <v>3</v>
          </cell>
          <cell r="L72">
            <v>2.7626935488584472</v>
          </cell>
          <cell r="M72">
            <v>1.8701935488584476</v>
          </cell>
          <cell r="N72">
            <v>1.7620117306766294</v>
          </cell>
          <cell r="O72">
            <v>1.5456480943129929</v>
          </cell>
          <cell r="P72">
            <v>1.3292844579493568</v>
          </cell>
          <cell r="Q72">
            <v>0.44981709246260482</v>
          </cell>
        </row>
        <row r="73">
          <cell r="K73">
            <v>4</v>
          </cell>
          <cell r="L73">
            <v>2.5934671488584473</v>
          </cell>
          <cell r="M73">
            <v>1.7534671488584475</v>
          </cell>
          <cell r="N73">
            <v>1.6277853306766292</v>
          </cell>
          <cell r="O73">
            <v>1.376421694312993</v>
          </cell>
          <cell r="P73">
            <v>1.1250580579493563</v>
          </cell>
          <cell r="Q73">
            <v>0.39204580766809699</v>
          </cell>
        </row>
        <row r="74">
          <cell r="K74">
            <v>5</v>
          </cell>
          <cell r="L74">
            <v>2.4242407488584474</v>
          </cell>
          <cell r="M74">
            <v>1.6367407488584476</v>
          </cell>
          <cell r="N74">
            <v>1.4935589306766295</v>
          </cell>
          <cell r="O74">
            <v>1.2071952943129931</v>
          </cell>
          <cell r="P74">
            <v>0.92083165794935673</v>
          </cell>
          <cell r="Q74">
            <v>0.33637020584572574</v>
          </cell>
        </row>
        <row r="75">
          <cell r="K75">
            <v>6</v>
          </cell>
          <cell r="L75">
            <v>2.2550143488584471</v>
          </cell>
          <cell r="M75">
            <v>1.5200143488584474</v>
          </cell>
          <cell r="N75">
            <v>1.3593325306766291</v>
          </cell>
          <cell r="O75">
            <v>1.0379688943129928</v>
          </cell>
          <cell r="P75">
            <v>0.71660525794935626</v>
          </cell>
          <cell r="Q75">
            <v>0.2827902869954903</v>
          </cell>
        </row>
        <row r="76">
          <cell r="K76">
            <v>7</v>
          </cell>
          <cell r="L76">
            <v>2.0857879488584472</v>
          </cell>
          <cell r="M76">
            <v>1.4032879488584475</v>
          </cell>
          <cell r="N76">
            <v>1.2251061306766293</v>
          </cell>
          <cell r="O76">
            <v>0.86874249431299289</v>
          </cell>
          <cell r="P76">
            <v>0.51237885794935667</v>
          </cell>
          <cell r="Q76">
            <v>0.23130605111739128</v>
          </cell>
        </row>
        <row r="77">
          <cell r="K77">
            <v>8</v>
          </cell>
          <cell r="L77">
            <v>1.9165615488584475</v>
          </cell>
          <cell r="M77">
            <v>1.2865615488584474</v>
          </cell>
          <cell r="N77">
            <v>1.0908797306766291</v>
          </cell>
          <cell r="O77">
            <v>0.699516094312993</v>
          </cell>
          <cell r="P77">
            <v>0.30815245794935614</v>
          </cell>
          <cell r="Q77">
            <v>0.18191749821142844</v>
          </cell>
        </row>
        <row r="78">
          <cell r="K78">
            <v>9</v>
          </cell>
          <cell r="L78">
            <v>1.7473351488584477</v>
          </cell>
          <cell r="M78">
            <v>1.1698351488584475</v>
          </cell>
          <cell r="N78">
            <v>0.95665333067662917</v>
          </cell>
          <cell r="O78">
            <v>0.53028969431299311</v>
          </cell>
          <cell r="P78">
            <v>0.10392605794935655</v>
          </cell>
          <cell r="Q78">
            <v>0.13462462827760199</v>
          </cell>
        </row>
        <row r="79">
          <cell r="K79">
            <v>10</v>
          </cell>
          <cell r="L79">
            <v>1.5781087488584473</v>
          </cell>
          <cell r="M79">
            <v>1.0531087488584474</v>
          </cell>
          <cell r="N79">
            <v>0.8224269306766292</v>
          </cell>
          <cell r="O79">
            <v>0.36106329431299272</v>
          </cell>
          <cell r="P79">
            <v>0</v>
          </cell>
          <cell r="Q79">
            <v>8.9427441315911502E-2</v>
          </cell>
        </row>
        <row r="80">
          <cell r="K80">
            <v>11</v>
          </cell>
          <cell r="L80">
            <v>1.4088823488584474</v>
          </cell>
          <cell r="M80">
            <v>0.93638234885844751</v>
          </cell>
          <cell r="N80">
            <v>0.68820053067662923</v>
          </cell>
          <cell r="O80">
            <v>0.19183689431299283</v>
          </cell>
          <cell r="P80">
            <v>0</v>
          </cell>
          <cell r="Q80">
            <v>4.632593732635739E-2</v>
          </cell>
        </row>
        <row r="81">
          <cell r="K81">
            <v>12</v>
          </cell>
          <cell r="L81">
            <v>1.2396559488584475</v>
          </cell>
          <cell r="M81">
            <v>0.81965594885844739</v>
          </cell>
          <cell r="N81">
            <v>0.55397413067662926</v>
          </cell>
          <cell r="O81">
            <v>2.2610494312992946E-2</v>
          </cell>
          <cell r="P81">
            <v>0</v>
          </cell>
          <cell r="Q81">
            <v>5.3201163089395178E-3</v>
          </cell>
        </row>
        <row r="82">
          <cell r="K82">
            <v>13</v>
          </cell>
          <cell r="L82">
            <v>1.0704295488584474</v>
          </cell>
          <cell r="M82">
            <v>0.70292954885844749</v>
          </cell>
          <cell r="N82">
            <v>0.41974773067662924</v>
          </cell>
          <cell r="O82">
            <v>0</v>
          </cell>
          <cell r="P82">
            <v>0</v>
          </cell>
          <cell r="Q82">
            <v>0</v>
          </cell>
        </row>
        <row r="83">
          <cell r="K83">
            <v>14</v>
          </cell>
          <cell r="L83">
            <v>0.90120314885844754</v>
          </cell>
          <cell r="M83">
            <v>0.58620314885844738</v>
          </cell>
          <cell r="N83">
            <v>0.28552133067662921</v>
          </cell>
          <cell r="O83">
            <v>0</v>
          </cell>
          <cell r="P83">
            <v>0</v>
          </cell>
          <cell r="Q83">
            <v>0</v>
          </cell>
        </row>
        <row r="84">
          <cell r="K84">
            <v>15</v>
          </cell>
          <cell r="L84">
            <v>0.73197674885844743</v>
          </cell>
          <cell r="M84">
            <v>0.46947674885844742</v>
          </cell>
          <cell r="N84">
            <v>0.15129493067662925</v>
          </cell>
          <cell r="O84">
            <v>0</v>
          </cell>
          <cell r="P84">
            <v>0</v>
          </cell>
          <cell r="Q84">
            <v>0</v>
          </cell>
        </row>
        <row r="85">
          <cell r="K85">
            <v>16</v>
          </cell>
          <cell r="L85">
            <v>0.56275034885844755</v>
          </cell>
          <cell r="M85">
            <v>0.35275034885844747</v>
          </cell>
          <cell r="N85">
            <v>1.7068530676629279E-2</v>
          </cell>
          <cell r="O85">
            <v>0</v>
          </cell>
          <cell r="P85">
            <v>0</v>
          </cell>
          <cell r="Q85">
            <v>0</v>
          </cell>
        </row>
        <row r="86">
          <cell r="K86">
            <v>17</v>
          </cell>
          <cell r="L86">
            <v>0.39352394885844749</v>
          </cell>
          <cell r="M86">
            <v>0.23602394885844746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</row>
        <row r="87">
          <cell r="K87">
            <v>18</v>
          </cell>
          <cell r="L87">
            <v>0.22429754885844749</v>
          </cell>
          <cell r="M87">
            <v>0.11929754885844748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</row>
        <row r="88">
          <cell r="K88">
            <v>19</v>
          </cell>
          <cell r="L88">
            <v>5.5071148858447494E-2</v>
          </cell>
          <cell r="M88">
            <v>2.571148858447489E-3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</row>
        <row r="89">
          <cell r="K89">
            <v>20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ltipsaren.se/sv/advice/andra-ventilationen-att-gora-franluftsvarmepumpen-mer-effekti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3"/>
  <sheetViews>
    <sheetView tabSelected="1" zoomScale="90" zoomScaleNormal="90" workbookViewId="0">
      <pane ySplit="1" topLeftCell="A27" activePane="bottomLeft" state="frozen"/>
      <selection pane="bottomLeft" activeCell="G10" sqref="G10"/>
    </sheetView>
  </sheetViews>
  <sheetFormatPr defaultRowHeight="14.5" x14ac:dyDescent="0.35"/>
  <cols>
    <col min="1" max="1" width="37.08984375" bestFit="1" customWidth="1"/>
    <col min="2" max="2" width="8.7265625" style="6"/>
    <col min="4" max="4" width="8.7265625" style="6"/>
    <col min="5" max="6" width="9.26953125" bestFit="1" customWidth="1"/>
    <col min="7" max="7" width="9.54296875" bestFit="1" customWidth="1"/>
    <col min="8" max="8" width="13.453125" customWidth="1"/>
    <col min="10" max="10" width="8.453125" style="11" customWidth="1"/>
    <col min="11" max="12" width="10.81640625" bestFit="1" customWidth="1"/>
    <col min="14" max="14" width="9.81640625" customWidth="1"/>
    <col min="24" max="24" width="5.81640625" bestFit="1" customWidth="1"/>
    <col min="27" max="27" width="15.1796875" bestFit="1" customWidth="1"/>
    <col min="28" max="28" width="11.54296875" customWidth="1"/>
  </cols>
  <sheetData>
    <row r="1" spans="1:25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25" x14ac:dyDescent="0.35">
      <c r="A2" s="32" t="s">
        <v>13</v>
      </c>
      <c r="B2" s="33">
        <v>1.3</v>
      </c>
      <c r="C2" s="33">
        <v>2</v>
      </c>
      <c r="D2" s="33">
        <v>4</v>
      </c>
      <c r="E2" s="33">
        <v>7</v>
      </c>
      <c r="F2" s="33">
        <v>13</v>
      </c>
      <c r="G2" s="33">
        <v>17</v>
      </c>
      <c r="H2" s="33">
        <v>19</v>
      </c>
      <c r="I2" s="33">
        <v>18</v>
      </c>
      <c r="J2" s="33">
        <v>14</v>
      </c>
      <c r="K2" s="33">
        <v>10</v>
      </c>
      <c r="L2" s="33">
        <v>6</v>
      </c>
      <c r="M2" s="34">
        <v>2</v>
      </c>
      <c r="N2" s="2"/>
      <c r="R2" s="3" t="s">
        <v>14</v>
      </c>
    </row>
    <row r="3" spans="1:25" x14ac:dyDescent="0.35">
      <c r="A3" s="35" t="s">
        <v>15</v>
      </c>
      <c r="B3" s="36">
        <f>($E13-B2)*$E12+($B10+$B11)/12</f>
        <v>2493.7003466666665</v>
      </c>
      <c r="C3" s="36">
        <f>($E13-C2)*$E12+($B10+$B11)/12</f>
        <v>2411.9918666666663</v>
      </c>
      <c r="D3" s="36">
        <f>($E13-D2)*$E12+($B10+$B11)/12</f>
        <v>2178.5390666666667</v>
      </c>
      <c r="E3" s="36">
        <f>($E13-E2)*$E12+($B10+$B11)/12</f>
        <v>1828.3598666666667</v>
      </c>
      <c r="F3" s="36">
        <f>($E13-F2)*$E12+($B10+$B11)/12</f>
        <v>1128.0014666666666</v>
      </c>
      <c r="G3" s="36">
        <f>($E13-G2)*$E12+($B10+$B11)/12</f>
        <v>661.09586666666667</v>
      </c>
      <c r="H3" s="36">
        <f>($E13-H2)*$E12+($B10+$B11)/12</f>
        <v>427.6430666666667</v>
      </c>
      <c r="I3" s="36">
        <f>($E13-I2)*$E12+($B10+$B11)/12</f>
        <v>544.36946666666665</v>
      </c>
      <c r="J3" s="36">
        <f>($E13-J2)*$E12+($B10+$B11)/12</f>
        <v>1011.2750666666666</v>
      </c>
      <c r="K3" s="36">
        <f>($E13-K2)*$E12+($B10+$B11)/12</f>
        <v>1478.1806666666666</v>
      </c>
      <c r="L3" s="36">
        <f>($E13-L2)*$E12+($B10+$B11)/12</f>
        <v>1945.0862666666667</v>
      </c>
      <c r="M3" s="37">
        <f>($E13-M2)*$E12+($B10+$B11)/12</f>
        <v>2411.9918666666663</v>
      </c>
      <c r="N3" s="4"/>
    </row>
    <row r="4" spans="1:25" x14ac:dyDescent="0.35">
      <c r="A4" s="35" t="s">
        <v>16</v>
      </c>
      <c r="B4" s="38">
        <f>B3/1000*24*31</f>
        <v>1855.3130579199999</v>
      </c>
      <c r="C4" s="38">
        <f>C3/1000*24*28</f>
        <v>1620.8585343999998</v>
      </c>
      <c r="D4" s="38">
        <f>D3/1000*24*31</f>
        <v>1620.8330656000001</v>
      </c>
      <c r="E4" s="38">
        <f>E3/1000*24*30</f>
        <v>1316.4191040000001</v>
      </c>
      <c r="F4" s="38">
        <f t="shared" ref="F4:M4" si="0">F3/1000*24*31</f>
        <v>839.2330912000001</v>
      </c>
      <c r="G4" s="38">
        <f>G3/1000*24*30</f>
        <v>475.98902399999997</v>
      </c>
      <c r="H4" s="38">
        <f t="shared" si="0"/>
        <v>318.16644160000004</v>
      </c>
      <c r="I4" s="38">
        <f t="shared" si="0"/>
        <v>405.01088319999997</v>
      </c>
      <c r="J4" s="38">
        <f>J3/1000*24*30</f>
        <v>728.11804799999993</v>
      </c>
      <c r="K4" s="38">
        <f t="shared" si="0"/>
        <v>1099.7664159999999</v>
      </c>
      <c r="L4" s="38">
        <f>L3/1000*24*30</f>
        <v>1400.4621119999999</v>
      </c>
      <c r="M4" s="39">
        <f t="shared" si="0"/>
        <v>1794.5219488</v>
      </c>
      <c r="N4" s="5"/>
      <c r="O4" s="6"/>
    </row>
    <row r="5" spans="1:25" x14ac:dyDescent="0.35">
      <c r="A5" s="35" t="s">
        <v>17</v>
      </c>
      <c r="B5" s="36">
        <f>VLOOKUP(B2,$K$41:$T$81,5,TRUE)*1000+($B$10+$B$11+$B$12+$B$13+$B$16)/12</f>
        <v>2402.1326276463265</v>
      </c>
      <c r="C5" s="36">
        <f>VLOOKUP(C2,$B$42:$J$82,9,TRUE)*1000+($B$10+$B$11+$B$12+$B$13+$B$16)/12</f>
        <v>2044.1780821917807</v>
      </c>
      <c r="D5" s="36">
        <f>VLOOKUP(D2,$B$42:$J$82,9,TRUE)*1000+($B$10+$B$11+$B$12+$B$13+$B$16)/12</f>
        <v>1675.9962640099625</v>
      </c>
      <c r="E5" s="36">
        <f>VLOOKUP(E2,$B$42:$J$82,9,TRUE)*1000+($B$10+$B$11+$B$12+$B$13+$B$16)/12</f>
        <v>1123.7235367372355</v>
      </c>
      <c r="F5" s="36">
        <f>VLOOKUP(F2,$B$42:$J$82,9,TRUE)*1000+($B$10+$B$11+$B$12+$B$13+$B$16)/12</f>
        <v>455.83333333333331</v>
      </c>
      <c r="G5" s="36">
        <f>VLOOKUP(G2,$B$42:$J$82,9,TRUE)*1000+($B$10+$B$11+$B$12+$B$13+$B$16)/12</f>
        <v>455.83333333333331</v>
      </c>
      <c r="H5" s="36">
        <f>VLOOKUP(H2,$B$42:$J$82,9,TRUE)*1000+($B$10+$B$11+$B$12+$B$13+$B$16)/12</f>
        <v>455.83333333333331</v>
      </c>
      <c r="I5" s="36">
        <f>VLOOKUP(I2,$B$42:$J$82,9,TRUE)*1000+($B$10+$B$11+$B$12+$B$13+$B$16)/12</f>
        <v>455.83333333333331</v>
      </c>
      <c r="J5" s="36">
        <f>VLOOKUP(J2,$B$42:$J$82,9,TRUE)*1000+($B$10+$B$11+$B$12+$B$13+$B$16)/12</f>
        <v>455.83333333333331</v>
      </c>
      <c r="K5" s="36">
        <f>VLOOKUP(K2,$B$42:$J$82,9,TRUE)*1000+($B$10+$B$11+$B$12+$B$13+$B$16)/12</f>
        <v>571.45080946450821</v>
      </c>
      <c r="L5" s="36">
        <f>VLOOKUP(L2,$B$42:$J$82,9,TRUE)*1000+($B$10+$B$11+$B$12+$B$13+$B$16)/12</f>
        <v>1307.8144458281445</v>
      </c>
      <c r="M5" s="37">
        <f>VLOOKUP(M2,$B$42:$J$82,9,TRUE)*1000+($B$10+$B$11+$B$12+$B$13+$B$16)/12</f>
        <v>2044.1780821917807</v>
      </c>
      <c r="N5" s="4"/>
    </row>
    <row r="6" spans="1:25" x14ac:dyDescent="0.35">
      <c r="A6" s="35" t="s">
        <v>18</v>
      </c>
      <c r="B6" s="38">
        <f>B5/1000*24*31</f>
        <v>1787.186674968867</v>
      </c>
      <c r="C6" s="38">
        <f>C5/1000*24*31</f>
        <v>1520.8684931506846</v>
      </c>
      <c r="D6" s="38">
        <f t="shared" ref="D6:M6" si="1">D5/1000*24*31</f>
        <v>1246.9412204234122</v>
      </c>
      <c r="E6" s="38">
        <f t="shared" si="1"/>
        <v>836.05031133250327</v>
      </c>
      <c r="F6" s="38">
        <f t="shared" si="1"/>
        <v>339.14</v>
      </c>
      <c r="G6" s="38">
        <f t="shared" si="1"/>
        <v>339.14</v>
      </c>
      <c r="H6" s="38">
        <f t="shared" si="1"/>
        <v>339.14</v>
      </c>
      <c r="I6" s="38">
        <f t="shared" si="1"/>
        <v>339.14</v>
      </c>
      <c r="J6" s="38">
        <f t="shared" si="1"/>
        <v>339.14</v>
      </c>
      <c r="K6" s="38">
        <f t="shared" si="1"/>
        <v>425.15940224159408</v>
      </c>
      <c r="L6" s="38">
        <f t="shared" si="1"/>
        <v>973.01394769613944</v>
      </c>
      <c r="M6" s="39">
        <f t="shared" si="1"/>
        <v>1520.8684931506846</v>
      </c>
      <c r="N6" s="5"/>
      <c r="O6" s="6"/>
      <c r="P6" s="7"/>
    </row>
    <row r="7" spans="1:25" ht="15" thickBot="1" x14ac:dyDescent="0.4">
      <c r="A7" s="40" t="s">
        <v>19</v>
      </c>
      <c r="B7" s="41">
        <f>(VLOOKUP(B2,$K$41:$T$81,7,TRUE)*1000+($B$10+$B$11+$B$12+$B$13)/12)</f>
        <v>997.51805214449939</v>
      </c>
      <c r="C7" s="41">
        <f>(VLOOKUP(C2,$K$41:$T$81,7,TRUE)*1000+($B$10+$B$11+$B$12+$B$13)/12)</f>
        <v>934.1973134800229</v>
      </c>
      <c r="D7" s="41">
        <f>(VLOOKUP(D2,$K$41:$T$81,7,TRUE)*1000+($B$10+$B$11+$B$12+$B$13)/12)</f>
        <v>813.96450488171922</v>
      </c>
      <c r="E7" s="41">
        <f>(VLOOKUP(E2,$K$41:$T$81,7,TRUE)*1000+($B$10+$B$11+$B$12+$B$13)/12)</f>
        <v>649.63696381088982</v>
      </c>
      <c r="F7" s="41">
        <f>(VLOOKUP(F2,$K$41:$T$81,7,TRUE)*1000+($B$10+$B$11+$B$12+$B$13)/12)</f>
        <v>407</v>
      </c>
      <c r="G7" s="41">
        <f>(VLOOKUP(G2,$K$41:$T$81,7,TRUE)*1000+($B$10+$B$11+$B$12+$B$13)/12)</f>
        <v>407</v>
      </c>
      <c r="H7" s="41">
        <f>(VLOOKUP(H2,$K$41:$T$81,7,TRUE)*1000+($B$10+$B$11+$B$12+$B$13)/12)</f>
        <v>407</v>
      </c>
      <c r="I7" s="41">
        <f>(VLOOKUP(I2,$K$41:$T$81,7,TRUE)*1000+($B$10+$B$11+$B$12+$B$13)/12)</f>
        <v>407</v>
      </c>
      <c r="J7" s="41">
        <f>(VLOOKUP(J2,$K$41:$T$81,7,TRUE)*1000+($B$10+$B$11+$B$12+$B$13)/12)</f>
        <v>407</v>
      </c>
      <c r="K7" s="41">
        <f>(VLOOKUP(K2,$K$41:$T$81,7,TRUE)*1000+($B$10+$B$11+$B$12+$B$13)/12)</f>
        <v>504.53542893201063</v>
      </c>
      <c r="L7" s="41">
        <f>(VLOOKUP(L2,$K$41:$T$81,7,TRUE)*1000+($B$10+$B$11+$B$12+$B$13)/12)</f>
        <v>702.27658792428292</v>
      </c>
      <c r="M7" s="42">
        <f>(VLOOKUP(M2,$K$41:$T$81,7,TRUE)*1000+($B$10+$B$11+$B$12+$B$13)/12)</f>
        <v>934.1973134800229</v>
      </c>
      <c r="N7" s="5"/>
      <c r="O7" s="6"/>
    </row>
    <row r="8" spans="1:25" x14ac:dyDescent="0.35">
      <c r="A8" s="29" t="s">
        <v>20</v>
      </c>
      <c r="B8" s="6">
        <v>4602</v>
      </c>
      <c r="C8" t="s">
        <v>21</v>
      </c>
      <c r="D8" s="35" t="s">
        <v>22</v>
      </c>
      <c r="E8" s="43">
        <v>604.79999999999995</v>
      </c>
      <c r="F8" s="11"/>
      <c r="G8" s="11"/>
      <c r="H8" s="6"/>
      <c r="J8"/>
      <c r="S8" s="10" t="s">
        <v>23</v>
      </c>
    </row>
    <row r="9" spans="1:25" x14ac:dyDescent="0.35">
      <c r="A9" s="29" t="s">
        <v>24</v>
      </c>
      <c r="B9" s="6">
        <v>14094</v>
      </c>
      <c r="C9" t="s">
        <v>21</v>
      </c>
      <c r="D9" s="44" t="s">
        <v>25</v>
      </c>
      <c r="E9" s="43">
        <v>416.5</v>
      </c>
      <c r="F9" s="11"/>
      <c r="J9"/>
      <c r="S9" s="10" t="s">
        <v>27</v>
      </c>
      <c r="Y9" s="12" t="s">
        <v>28</v>
      </c>
    </row>
    <row r="10" spans="1:25" x14ac:dyDescent="0.35">
      <c r="A10" s="29" t="s">
        <v>29</v>
      </c>
      <c r="B10" s="6">
        <v>2761</v>
      </c>
      <c r="C10" t="s">
        <v>21</v>
      </c>
      <c r="D10" s="44" t="s">
        <v>30</v>
      </c>
      <c r="E10" s="43">
        <f>E8-E9</f>
        <v>188.29999999999995</v>
      </c>
      <c r="F10" s="11"/>
      <c r="J10"/>
      <c r="S10" s="10" t="s">
        <v>31</v>
      </c>
    </row>
    <row r="11" spans="1:25" x14ac:dyDescent="0.35">
      <c r="A11" s="29" t="s">
        <v>32</v>
      </c>
      <c r="B11" s="6">
        <v>970</v>
      </c>
      <c r="C11" t="s">
        <v>21</v>
      </c>
      <c r="D11" s="44" t="s">
        <v>33</v>
      </c>
      <c r="E11" s="43">
        <v>0.193</v>
      </c>
      <c r="F11" s="11"/>
      <c r="J11"/>
    </row>
    <row r="12" spans="1:25" x14ac:dyDescent="0.35">
      <c r="A12" s="29" t="s">
        <v>34</v>
      </c>
      <c r="B12" s="13">
        <v>398</v>
      </c>
      <c r="C12" t="s">
        <v>21</v>
      </c>
      <c r="D12" s="44" t="s">
        <v>35</v>
      </c>
      <c r="E12" s="43">
        <f>E11*E8</f>
        <v>116.7264</v>
      </c>
      <c r="F12" s="11"/>
      <c r="J12"/>
      <c r="S12" t="s">
        <v>36</v>
      </c>
    </row>
    <row r="13" spans="1:25" x14ac:dyDescent="0.35">
      <c r="A13" s="29" t="s">
        <v>37</v>
      </c>
      <c r="B13" s="13">
        <v>755</v>
      </c>
      <c r="C13" t="s">
        <v>21</v>
      </c>
      <c r="D13" s="44" t="s">
        <v>38</v>
      </c>
      <c r="E13" s="43">
        <v>20</v>
      </c>
      <c r="F13" s="11"/>
      <c r="J13"/>
      <c r="L13" s="6"/>
      <c r="M13" s="6"/>
      <c r="N13" s="6"/>
      <c r="S13" s="10" t="s">
        <v>39</v>
      </c>
    </row>
    <row r="14" spans="1:25" x14ac:dyDescent="0.35">
      <c r="A14" s="29" t="s">
        <v>40</v>
      </c>
      <c r="B14" s="13">
        <v>4332</v>
      </c>
      <c r="C14" t="s">
        <v>21</v>
      </c>
      <c r="D14" s="44"/>
      <c r="E14" s="43"/>
      <c r="F14" s="11"/>
      <c r="J14" s="6"/>
      <c r="K14" s="6"/>
      <c r="L14" s="6"/>
      <c r="M14" s="14"/>
      <c r="N14" s="14"/>
      <c r="S14" s="10" t="s">
        <v>41</v>
      </c>
    </row>
    <row r="15" spans="1:25" s="11" customFormat="1" x14ac:dyDescent="0.35">
      <c r="A15" s="29" t="s">
        <v>42</v>
      </c>
      <c r="B15" s="6">
        <v>3463</v>
      </c>
      <c r="C15" t="s">
        <v>21</v>
      </c>
      <c r="D15" s="44"/>
      <c r="E15" s="43"/>
      <c r="G15"/>
      <c r="H15"/>
      <c r="I15"/>
      <c r="J15" s="6"/>
      <c r="K15" s="6"/>
      <c r="L15" s="6"/>
      <c r="M15" s="14"/>
      <c r="N15" s="14"/>
      <c r="S15" s="10" t="s">
        <v>43</v>
      </c>
    </row>
    <row r="16" spans="1:25" s="11" customFormat="1" x14ac:dyDescent="0.35">
      <c r="A16" s="29" t="s">
        <v>44</v>
      </c>
      <c r="B16" s="13">
        <v>586</v>
      </c>
      <c r="C16" t="s">
        <v>21</v>
      </c>
      <c r="D16" s="44"/>
      <c r="E16" s="43"/>
      <c r="G16"/>
      <c r="H16"/>
      <c r="I16"/>
      <c r="J16" s="6"/>
      <c r="K16" s="6"/>
      <c r="L16" s="6"/>
      <c r="M16" s="14"/>
      <c r="N16" s="14"/>
      <c r="S16" s="10"/>
    </row>
    <row r="17" spans="1:29" s="11" customFormat="1" x14ac:dyDescent="0.35">
      <c r="A17"/>
      <c r="B17" s="6"/>
      <c r="C17"/>
      <c r="D17"/>
      <c r="E17"/>
      <c r="F17"/>
      <c r="G17"/>
      <c r="H17"/>
      <c r="I17"/>
      <c r="J17" s="6"/>
      <c r="K17" s="6"/>
      <c r="L17" s="6"/>
      <c r="M17" s="14"/>
      <c r="N17" s="14"/>
      <c r="U17" t="s">
        <v>45</v>
      </c>
    </row>
    <row r="18" spans="1:29" s="11" customFormat="1" x14ac:dyDescent="0.35">
      <c r="A18"/>
      <c r="B18" s="6"/>
      <c r="C18"/>
      <c r="D18"/>
      <c r="E18"/>
      <c r="F18"/>
      <c r="G18"/>
      <c r="H18"/>
      <c r="I18"/>
      <c r="J18" s="6"/>
      <c r="K18" s="6"/>
      <c r="L18" s="6"/>
      <c r="M18" s="14"/>
      <c r="N18" s="14"/>
    </row>
    <row r="19" spans="1:29" s="11" customFormat="1" x14ac:dyDescent="0.35">
      <c r="A19"/>
      <c r="B19" s="6"/>
      <c r="C19"/>
      <c r="D19"/>
      <c r="E19"/>
      <c r="F19"/>
      <c r="G19"/>
      <c r="H19"/>
      <c r="I19"/>
      <c r="J19" s="6"/>
      <c r="K19" s="6"/>
      <c r="U19" s="15" t="s">
        <v>46</v>
      </c>
    </row>
    <row r="20" spans="1:29" s="11" customFormat="1" x14ac:dyDescent="0.35">
      <c r="A20"/>
      <c r="B20" s="6"/>
      <c r="C20"/>
      <c r="D20"/>
      <c r="E20"/>
      <c r="F20"/>
      <c r="G20"/>
      <c r="H20"/>
      <c r="I20"/>
      <c r="J20"/>
      <c r="L20" s="6"/>
      <c r="M20" s="14"/>
      <c r="N20" s="14"/>
      <c r="U20" t="s">
        <v>47</v>
      </c>
      <c r="Y20" s="16">
        <f>E8</f>
        <v>604.79999999999995</v>
      </c>
    </row>
    <row r="21" spans="1:29" s="11" customFormat="1" x14ac:dyDescent="0.35">
      <c r="A21"/>
      <c r="B21"/>
      <c r="C21"/>
      <c r="D21"/>
      <c r="E21"/>
      <c r="F21"/>
      <c r="G21"/>
      <c r="H21"/>
      <c r="I21"/>
      <c r="J21" s="6"/>
      <c r="K21" s="6"/>
      <c r="L21" s="6"/>
      <c r="M21" s="14"/>
      <c r="N21" s="14"/>
      <c r="U21" t="s">
        <v>48</v>
      </c>
      <c r="Y21" s="16">
        <f>E11</f>
        <v>0.193</v>
      </c>
    </row>
    <row r="22" spans="1:29" s="11" customFormat="1" x14ac:dyDescent="0.35">
      <c r="A22"/>
      <c r="B22"/>
      <c r="C22"/>
      <c r="D22"/>
      <c r="E22"/>
      <c r="F22"/>
      <c r="G22"/>
      <c r="H22"/>
      <c r="I22"/>
      <c r="J22" s="6"/>
      <c r="K22" s="6"/>
      <c r="L22" s="6"/>
      <c r="M22" s="14"/>
      <c r="N22" s="14"/>
      <c r="U22" t="s">
        <v>50</v>
      </c>
      <c r="Y22" s="11">
        <v>20</v>
      </c>
    </row>
    <row r="23" spans="1:29" s="11" customFormat="1" x14ac:dyDescent="0.35">
      <c r="A23"/>
      <c r="B23"/>
      <c r="C23"/>
      <c r="D23"/>
      <c r="E23"/>
      <c r="F23"/>
      <c r="G23"/>
      <c r="H23"/>
      <c r="I23"/>
      <c r="J23" s="6"/>
      <c r="K23" s="6"/>
      <c r="L23" s="6"/>
      <c r="M23" s="14"/>
      <c r="N23" s="14"/>
      <c r="U23"/>
    </row>
    <row r="24" spans="1:29" s="11" customFormat="1" x14ac:dyDescent="0.35">
      <c r="A24"/>
      <c r="B24"/>
      <c r="C24"/>
      <c r="D24"/>
      <c r="E24"/>
      <c r="F24"/>
      <c r="G24"/>
      <c r="H24"/>
      <c r="I24"/>
      <c r="K24"/>
      <c r="L24"/>
      <c r="M24"/>
      <c r="N24" s="6"/>
      <c r="O24" s="6"/>
      <c r="P24" s="6"/>
      <c r="Q24" s="14"/>
      <c r="R24" s="14"/>
      <c r="S24" s="14"/>
      <c r="T24" s="14"/>
      <c r="Y24" t="s">
        <v>51</v>
      </c>
      <c r="AC24" s="17">
        <f>Y20*Y21*Y22/1000</f>
        <v>2.3345279999999997</v>
      </c>
    </row>
    <row r="25" spans="1:29" s="11" customFormat="1" x14ac:dyDescent="0.35">
      <c r="A25"/>
      <c r="B25" s="6"/>
      <c r="C25"/>
      <c r="D25"/>
      <c r="E25"/>
      <c r="F25"/>
      <c r="G25"/>
      <c r="H25"/>
      <c r="I25"/>
      <c r="K25"/>
      <c r="L25"/>
      <c r="M25"/>
      <c r="N25" s="6"/>
      <c r="O25" s="6"/>
      <c r="Y25" t="s">
        <v>52</v>
      </c>
      <c r="AC25" s="11">
        <f>0.00035*20*150</f>
        <v>1.05</v>
      </c>
    </row>
    <row r="26" spans="1:29" s="11" customFormat="1" x14ac:dyDescent="0.35">
      <c r="A26"/>
      <c r="B26" s="6"/>
      <c r="C26"/>
      <c r="D26" s="6"/>
      <c r="E26" s="6"/>
      <c r="F26"/>
      <c r="G26"/>
      <c r="H26"/>
      <c r="I26"/>
      <c r="K26"/>
      <c r="L26"/>
      <c r="M26"/>
      <c r="N26"/>
    </row>
    <row r="27" spans="1:29" s="11" customFormat="1" x14ac:dyDescent="0.35">
      <c r="A27"/>
      <c r="B27" s="6"/>
      <c r="C27"/>
      <c r="D27" s="6"/>
      <c r="E27" s="14"/>
      <c r="F27" s="14"/>
      <c r="G27" s="14"/>
      <c r="H27"/>
      <c r="I27"/>
      <c r="K27"/>
      <c r="L27"/>
      <c r="M27"/>
      <c r="N27"/>
      <c r="Y27" t="s">
        <v>53</v>
      </c>
      <c r="Z27"/>
    </row>
    <row r="28" spans="1:29" s="11" customFormat="1" x14ac:dyDescent="0.35">
      <c r="A28"/>
      <c r="B28" s="6"/>
      <c r="C28"/>
      <c r="D28" s="6"/>
      <c r="E28"/>
      <c r="F28"/>
      <c r="G28"/>
      <c r="H28"/>
      <c r="I28"/>
      <c r="K28"/>
      <c r="L28"/>
      <c r="M28"/>
      <c r="N28"/>
      <c r="Y28"/>
      <c r="Z28"/>
    </row>
    <row r="29" spans="1:29" s="11" customFormat="1" x14ac:dyDescent="0.35">
      <c r="A29"/>
      <c r="B29" s="6"/>
      <c r="C29"/>
      <c r="D29" s="6"/>
      <c r="E29"/>
      <c r="F29"/>
      <c r="G29"/>
      <c r="H29"/>
      <c r="I29"/>
      <c r="K29"/>
      <c r="L29"/>
      <c r="M29"/>
      <c r="N29"/>
      <c r="Y29" s="18" t="s">
        <v>54</v>
      </c>
      <c r="Z29" s="18">
        <v>110</v>
      </c>
      <c r="AB29" s="4">
        <f>Z29*$G$10*$G$11</f>
        <v>0</v>
      </c>
    </row>
    <row r="30" spans="1:29" x14ac:dyDescent="0.35">
      <c r="O30" s="11"/>
      <c r="Y30" s="18" t="s">
        <v>55</v>
      </c>
      <c r="Z30" s="18" t="s">
        <v>56</v>
      </c>
      <c r="AB30" s="4"/>
    </row>
    <row r="31" spans="1:29" x14ac:dyDescent="0.35">
      <c r="A31" s="29"/>
      <c r="B31" s="30"/>
      <c r="D31" s="30"/>
      <c r="Y31" s="19">
        <v>20</v>
      </c>
      <c r="Z31" s="19" t="s">
        <v>57</v>
      </c>
      <c r="AB31" s="4"/>
    </row>
    <row r="32" spans="1:29" x14ac:dyDescent="0.35">
      <c r="A32" s="29"/>
      <c r="B32" s="30" t="s">
        <v>58</v>
      </c>
      <c r="C32" s="9">
        <v>600</v>
      </c>
      <c r="D32" s="30" t="s">
        <v>59</v>
      </c>
      <c r="Y32" s="19">
        <v>30</v>
      </c>
      <c r="Z32" s="19" t="s">
        <v>60</v>
      </c>
      <c r="AB32" s="4"/>
    </row>
    <row r="33" spans="1:35" x14ac:dyDescent="0.35">
      <c r="A33" s="29"/>
      <c r="B33" s="30" t="s">
        <v>61</v>
      </c>
      <c r="C33" s="9">
        <v>0.2</v>
      </c>
      <c r="D33" s="30" t="s">
        <v>62</v>
      </c>
      <c r="Y33" s="19">
        <v>40</v>
      </c>
      <c r="Z33" s="19" t="s">
        <v>63</v>
      </c>
      <c r="AB33" s="4"/>
    </row>
    <row r="34" spans="1:35" x14ac:dyDescent="0.35">
      <c r="A34" s="29"/>
      <c r="B34" s="30" t="s">
        <v>64</v>
      </c>
      <c r="C34">
        <v>20</v>
      </c>
      <c r="D34" s="30" t="s">
        <v>65</v>
      </c>
      <c r="Y34" s="19"/>
      <c r="Z34" s="19"/>
      <c r="AB34" s="4"/>
    </row>
    <row r="35" spans="1:35" x14ac:dyDescent="0.35">
      <c r="A35" s="29"/>
      <c r="B35" s="30" t="s">
        <v>66</v>
      </c>
      <c r="C35">
        <v>150</v>
      </c>
      <c r="D35" s="30" t="s">
        <v>26</v>
      </c>
      <c r="Y35" s="19"/>
      <c r="Z35" s="19"/>
      <c r="AB35" s="4"/>
    </row>
    <row r="36" spans="1:35" x14ac:dyDescent="0.35">
      <c r="A36" s="29"/>
      <c r="B36" s="30" t="s">
        <v>67</v>
      </c>
      <c r="C36">
        <v>35</v>
      </c>
      <c r="D36" s="30" t="s">
        <v>65</v>
      </c>
      <c r="Y36" s="19"/>
      <c r="Z36" s="19"/>
      <c r="AB36" s="4"/>
    </row>
    <row r="37" spans="1:35" x14ac:dyDescent="0.35">
      <c r="A37" s="29"/>
      <c r="B37" s="30" t="s">
        <v>68</v>
      </c>
      <c r="C37">
        <v>-14</v>
      </c>
      <c r="D37" s="30" t="s">
        <v>65</v>
      </c>
      <c r="Y37" s="19"/>
      <c r="Z37" s="19"/>
      <c r="AB37" s="4"/>
    </row>
    <row r="38" spans="1:35" x14ac:dyDescent="0.35">
      <c r="A38" s="29"/>
      <c r="B38" s="31" t="s">
        <v>69</v>
      </c>
      <c r="C38">
        <v>5000</v>
      </c>
      <c r="D38" s="30" t="s">
        <v>49</v>
      </c>
      <c r="L38" s="21">
        <v>150</v>
      </c>
      <c r="M38" s="21">
        <v>0</v>
      </c>
      <c r="N38" s="21">
        <v>50</v>
      </c>
      <c r="O38" s="21">
        <v>150</v>
      </c>
      <c r="P38" s="21">
        <v>250</v>
      </c>
      <c r="Q38" s="21">
        <v>150</v>
      </c>
      <c r="AE38" s="19"/>
      <c r="AF38" s="19"/>
      <c r="AH38" s="4"/>
    </row>
    <row r="39" spans="1:35" x14ac:dyDescent="0.35">
      <c r="A39" s="29"/>
      <c r="B39" s="31" t="s">
        <v>70</v>
      </c>
      <c r="C39">
        <v>1500</v>
      </c>
      <c r="D39" s="30" t="s">
        <v>49</v>
      </c>
      <c r="J39"/>
      <c r="K39" s="11"/>
      <c r="AD39" s="19"/>
      <c r="AE39" s="19"/>
      <c r="AG39" s="4"/>
    </row>
    <row r="40" spans="1:35" s="22" customFormat="1" x14ac:dyDescent="0.35">
      <c r="A40"/>
      <c r="B40" s="20"/>
      <c r="C40"/>
      <c r="D40" s="6"/>
      <c r="E40"/>
      <c r="F40"/>
      <c r="G40"/>
      <c r="H40"/>
      <c r="I40"/>
      <c r="J40"/>
      <c r="K40" s="11"/>
      <c r="L40" s="21"/>
      <c r="M40" s="21"/>
      <c r="N40" s="21"/>
      <c r="O40" s="21"/>
      <c r="P40" s="21"/>
      <c r="Q40" s="21"/>
      <c r="R40" s="21"/>
      <c r="T40" s="23"/>
      <c r="U40" s="21"/>
      <c r="V40" s="21"/>
      <c r="W40" s="21"/>
      <c r="X40" s="21"/>
      <c r="Y40" s="21"/>
      <c r="Z40" s="21"/>
      <c r="AA40" s="21"/>
      <c r="AB40" s="21"/>
      <c r="AF40" s="19"/>
      <c r="AG40" s="19"/>
      <c r="AI40" s="20"/>
    </row>
    <row r="41" spans="1:35" ht="101.5" x14ac:dyDescent="0.35">
      <c r="A41" s="22"/>
      <c r="B41" s="20" t="s">
        <v>71</v>
      </c>
      <c r="C41" s="28" t="s">
        <v>72</v>
      </c>
      <c r="D41" s="28" t="s">
        <v>73</v>
      </c>
      <c r="E41" s="28" t="s">
        <v>74</v>
      </c>
      <c r="F41" s="28" t="s">
        <v>75</v>
      </c>
      <c r="G41" s="28" t="s">
        <v>76</v>
      </c>
      <c r="H41" s="28" t="s">
        <v>77</v>
      </c>
      <c r="I41" s="28" t="s">
        <v>78</v>
      </c>
      <c r="J41" s="24" t="s">
        <v>79</v>
      </c>
      <c r="K41" s="21" t="str">
        <f>B41</f>
        <v>T_ute</v>
      </c>
      <c r="L41" s="21" t="s">
        <v>80</v>
      </c>
      <c r="M41" s="21" t="s">
        <v>81</v>
      </c>
      <c r="N41" s="21" t="s">
        <v>82</v>
      </c>
      <c r="O41" s="21" t="s">
        <v>83</v>
      </c>
      <c r="P41" s="21" t="s">
        <v>84</v>
      </c>
      <c r="Q41" s="21" t="s">
        <v>85</v>
      </c>
      <c r="R41" s="21" t="s">
        <v>86</v>
      </c>
      <c r="S41" s="25"/>
      <c r="T41" s="23"/>
      <c r="U41" s="23"/>
      <c r="V41" s="23"/>
      <c r="W41" s="23"/>
      <c r="X41" s="23"/>
      <c r="Y41" s="23"/>
      <c r="Z41" s="23"/>
      <c r="AA41" s="23"/>
      <c r="AB41" s="23"/>
      <c r="AF41" s="18"/>
      <c r="AG41" s="18"/>
      <c r="AI41" s="4"/>
    </row>
    <row r="42" spans="1:35" x14ac:dyDescent="0.35">
      <c r="B42" s="6">
        <v>-20</v>
      </c>
      <c r="C42" s="45">
        <f>$C$32*$C$33*($C$34-B42)/1000</f>
        <v>4.8</v>
      </c>
      <c r="D42" s="45">
        <f>$C$35*0.00035*($C$34-B42)</f>
        <v>2.1</v>
      </c>
      <c r="E42" s="8">
        <f>C42+D42</f>
        <v>6.9</v>
      </c>
      <c r="F42" s="45">
        <f>1/(1-((273+$B42)/(273+$C$36)))/2</f>
        <v>2.7999999999999994</v>
      </c>
      <c r="G42" s="8">
        <f>$C$35*0.00035*((IF(C$37&gt;B42,0,$C$34-C$37)))*(F42-1)/F42</f>
        <v>0</v>
      </c>
      <c r="H42" s="46">
        <f>($C$38/2-$C$39)/24/365</f>
        <v>0.11415525114155251</v>
      </c>
      <c r="I42" s="46">
        <f>1/(1-((273+$B42)/(273+$C$36+20)))/2</f>
        <v>2.186666666666667</v>
      </c>
      <c r="J42" s="26">
        <f>IF(E42-G42-H42&gt;0,E42-G42-H42,0)</f>
        <v>6.7858447488584481</v>
      </c>
      <c r="K42" s="27">
        <f>B42</f>
        <v>-20</v>
      </c>
      <c r="L42" s="23">
        <f>IF($C$32*$C$33*($C$34-$K42)/1000+L$38*0.00035*($C$34-$K42)-($C$38/2-$C$39)/24/365&gt;0,$C$32*$C$33*($C$34-$K42)/1000+L$38*0.00035*($C$34-$K42)-($C$38/2-$C$39)/24/365,0)</f>
        <v>6.7858447488584481</v>
      </c>
      <c r="M42" s="23">
        <f>IF($C$32*$C$33*($C$34-$K42)/1000+M$38*0.00035*($C$34-$K42)-M$38*0.00035*((IF($C$37&gt;$K42,0,$C$34-$C$37)))*((1/(1-((273+$C$37)/(273+$C$36)))/2)-1)/(1/(1-((273+$C$37)/(273+$C$36)))/2)-($C$38/2-$C$39)/24/365&gt;0,$C$32*$C$33*($C$34-$K42)/1000+M$38*0.00035*($C$34-$K42)-M$38*0.00035*((IF($C$37&gt;$K42,0,$C$34-$C$37)))*((1/(1-((273+$C$37)/(273+$C$36)))/2)-1)/(1/(1-((273+$C$37)/(273+$C$36)))/2)-($C$38/2-$C$39)/24/365,0)</f>
        <v>4.6858447488584476</v>
      </c>
      <c r="N42" s="23">
        <f>IF($C$32*$C$33*($C$34-$K42)/1000+N$38*0.00035*($C$34-$K42)-N$38*0.00035*((IF($C$37&gt;$K42,0,$C$34-$C$37)))*((1/(1-((273+$C$37)/(273+$C$36)))/2)-1)/(1/(1-((273+$C$37)/(273+$C$36)))/2)-($C$38/2-$C$39)/24/365&gt;0,$C$32*$C$33*($C$34-$K42)/1000+N$38*0.00035*($C$34-$K42)-N$38*0.00035*((IF($C$37&gt;$K42,0,$C$34-$C$37)))*((1/(1-((273+$C$37)/(273+$C$36)))/2)-1)/(1/(1-((273+$C$37)/(273+$C$36)))/2)-($C$38/2-$C$39)/24/365,0)</f>
        <v>5.3858447488584478</v>
      </c>
      <c r="O42" s="23">
        <f>IF($C$32*$C$33*($C$34-$K42)/1000+O$38*0.00035*($C$34-$K42)-O$38*0.00035*((IF($C$37&gt;$K42,0,$C$34-$C$37)))*((1/(1-((273+$C$37)/(273+$C$36)))/2)-1)/(1/(1-((273+$C$37)/(273+$C$36)))/2)-($C$38/2-$C$39)/24/365&gt;0,$C$32*$C$33*($C$34-$K42)/1000+O$38*0.00035*($C$34-$K42)-O$38*0.00035*((IF($C$37&gt;$K42,0,$C$34-$C$37)))*((1/(1-((273+$C$37)/(273+$C$36)))/2)-1)/(1/(1-((273+$C$37)/(273+$C$36)))/2)-($C$38/2-$C$39)/24/365,0)</f>
        <v>6.7858447488584481</v>
      </c>
      <c r="P42" s="23">
        <f>IF($C$32*$C$33*($C$34-$K42)/1000+P$38*0.00035*($C$34-$K42)-P$38*0.00035*((IF($C$37&gt;$K42,0,$C$34-$C$37)))*((1/(1-((273+$C$37)/(273+$C$36)))/2)-1)/(1/(1-((273+$C$37)/(273+$C$36)))/2)-($C$38/2-$C$39)/24/365&gt;0,$C$32*$C$33*($C$34-$K42)/1000+P$38*0.00035*($C$34-$K42)-P$38*0.00035*((IF($C$37&gt;$K42,0,$C$34-$C$37)))*((1/(1-((273+$C$37)/(273+$C$36)))/2)-1)/(1/(1-((273+$C$37)/(273+$C$36)))/2)-($C$38/2-$C$39)/24/365,0)</f>
        <v>8.1858447488584485</v>
      </c>
      <c r="Q42" s="23">
        <f>(IF($C$32*$C$33*($C$34-$K42)/1000+Q$38*0.00035*($C$34-$K42)-Q$38*0.00035*((IF($C$37&gt;$K42,0,$C$34-$C$37)))*((1/(1-((273+$C$37)/(273+$C$36)))/2)-1)/(1/(1-((273+$C$37)/(273+$C$36)))/2)-($C$38/2-$C$39)/24/365&gt;0,$C$32*$C$33*($C$34-$K42)/1000+Q$38*0.00035*($C$34-$K42)-Q$38*0.00035*((IF($C$37&gt;$K42,0,$C$34-$C$37)))*((1/(1-((273+$C$37)/(273+$C$36)))/2)-1)/(1/(1-((273+$C$37)/(273+$C$36)))/2)-($C$38/2-$C$39)/24/365,0))/(1/(1-((273+$B42)/(273+$C$36+15)))/2)</f>
        <v>2.9412330180810602</v>
      </c>
      <c r="R42" s="23"/>
      <c r="S42" s="25"/>
      <c r="T42" s="23"/>
      <c r="U42" s="23"/>
      <c r="V42" s="23"/>
      <c r="W42" s="23"/>
      <c r="X42" s="23"/>
      <c r="Y42" s="23"/>
      <c r="Z42" s="23"/>
      <c r="AA42" s="23"/>
      <c r="AB42" s="23"/>
      <c r="AF42" s="18"/>
      <c r="AG42" s="18"/>
      <c r="AI42" s="4"/>
    </row>
    <row r="43" spans="1:35" x14ac:dyDescent="0.35">
      <c r="B43" s="6">
        <v>-19</v>
      </c>
      <c r="C43" s="45">
        <f>$C$32*$C$33*($C$34-B43)/1000</f>
        <v>4.68</v>
      </c>
      <c r="D43" s="45">
        <f>$C$35*0.00035*($C$34-B43)</f>
        <v>2.0474999999999999</v>
      </c>
      <c r="E43" s="8">
        <f t="shared" ref="E43:E82" si="2">C43+D43</f>
        <v>6.7274999999999991</v>
      </c>
      <c r="F43" s="45">
        <f>1/(1-((273+$B43)/(273+$C$36)))/2</f>
        <v>2.8518518518518516</v>
      </c>
      <c r="G43" s="8">
        <f>$C$35*0.00035*((IF(C$37&gt;B43,0,$C$34-C$37)))*(F43-1)/F43</f>
        <v>0</v>
      </c>
      <c r="H43" s="46">
        <f>($C$38/2-$C$39)/24/365</f>
        <v>0.11415525114155251</v>
      </c>
      <c r="I43" s="46">
        <f>1/(1-((273+$B43)/(273+$C$36+20)))/2</f>
        <v>2.2162162162162162</v>
      </c>
      <c r="J43" s="26">
        <f>IF(E43-G43-H43&gt;0,E43-G43-H43,0)</f>
        <v>6.6133447488584469</v>
      </c>
      <c r="K43" s="27">
        <f>B43</f>
        <v>-19</v>
      </c>
      <c r="L43" s="23">
        <f>IF($C$32*$C$33*($C$34-$K43)/1000+L$38*0.00035*($C$34-$K43)-($C$38/2-$C$39)/24/365&gt;0,$C$32*$C$33*($C$34-$K43)/1000+L$38*0.00035*($C$34-$K43)-($C$38/2-$C$39)/24/365,0)</f>
        <v>6.6133447488584469</v>
      </c>
      <c r="M43" s="23">
        <f>IF($C$32*$C$33*($C$34-$K43)/1000+M$38*0.00035*($C$34-$K43)-M$38*0.00035*((IF($C$37&gt;$K43,0,$C$34-$C$37)))*((1/(1-((273+$C$37)/(273+$C$36)))/2)-1)/(1/(1-((273+$C$37)/(273+$C$36)))/2)-($C$38/2-$C$39)/24/365&gt;0,$C$32*$C$33*($C$34-$K43)/1000+M$38*0.00035*($C$34-$K43)-M$38*0.00035*((IF($C$37&gt;$K43,0,$C$34-$C$37)))*((1/(1-((273+$C$37)/(273+$C$36)))/2)-1)/(1/(1-((273+$C$37)/(273+$C$36)))/2)-($C$38/2-$C$39)/24/365,0)</f>
        <v>4.5658447488584475</v>
      </c>
      <c r="N43" s="23">
        <f>IF($C$32*$C$33*($C$34-$K43)/1000+N$38*0.00035*($C$34-$K43)-N$38*0.00035*((IF($C$37&gt;$K43,0,$C$34-$C$37)))*((1/(1-((273+$C$37)/(273+$C$36)))/2)-1)/(1/(1-((273+$C$37)/(273+$C$36)))/2)-($C$38/2-$C$39)/24/365&gt;0,$C$32*$C$33*($C$34-$K43)/1000+N$38*0.00035*($C$34-$K43)-N$38*0.00035*((IF($C$37&gt;$K43,0,$C$34-$C$37)))*((1/(1-((273+$C$37)/(273+$C$36)))/2)-1)/(1/(1-((273+$C$37)/(273+$C$36)))/2)-($C$38/2-$C$39)/24/365,0)</f>
        <v>5.2483447488584476</v>
      </c>
      <c r="O43" s="23">
        <f>IF($C$32*$C$33*($C$34-$K43)/1000+O$38*0.00035*($C$34-$K43)-O$38*0.00035*((IF($C$37&gt;$K43,0,$C$34-$C$37)))*((1/(1-((273+$C$37)/(273+$C$36)))/2)-1)/(1/(1-((273+$C$37)/(273+$C$36)))/2)-($C$38/2-$C$39)/24/365&gt;0,$C$32*$C$33*($C$34-$K43)/1000+O$38*0.00035*($C$34-$K43)-O$38*0.00035*((IF($C$37&gt;$K43,0,$C$34-$C$37)))*((1/(1-((273+$C$37)/(273+$C$36)))/2)-1)/(1/(1-((273+$C$37)/(273+$C$36)))/2)-($C$38/2-$C$39)/24/365,0)</f>
        <v>6.6133447488584469</v>
      </c>
      <c r="P43" s="23">
        <f>IF($C$32*$C$33*($C$34-$K43)/1000+P$38*0.00035*($C$34-$K43)-P$38*0.00035*((IF($C$37&gt;$K43,0,$C$34-$C$37)))*((1/(1-((273+$C$37)/(273+$C$36)))/2)-1)/(1/(1-((273+$C$37)/(273+$C$36)))/2)-($C$38/2-$C$39)/24/365&gt;0,$C$32*$C$33*($C$34-$K43)/1000+P$38*0.00035*($C$34-$K43)-P$38*0.00035*((IF($C$37&gt;$K43,0,$C$34-$C$37)))*((1/(1-((273+$C$37)/(273+$C$36)))/2)-1)/(1/(1-((273+$C$37)/(273+$C$36)))/2)-($C$38/2-$C$39)/24/365,0)</f>
        <v>7.9783447488584471</v>
      </c>
      <c r="Q43" s="23">
        <f>(IF($C$32*$C$33*($C$34-$K43)/1000+Q$38*0.00035*($C$34-$K43)-Q$38*0.00035*((IF($C$37&gt;$K43,0,$C$34-$C$37)))*((1/(1-((273+$C$37)/(273+$C$36)))/2)-1)/(1/(1-((273+$C$37)/(273+$C$36)))/2)-($C$38/2-$C$39)/24/365&gt;0,$C$32*$C$33*($C$34-$K43)/1000+Q$38*0.00035*($C$34-$K43)-Q$38*0.00035*((IF($C$37&gt;$K43,0,$C$34-$C$37)))*((1/(1-((273+$C$37)/(273+$C$36)))/2)-1)/(1/(1-((273+$C$37)/(273+$C$36)))/2)-($C$38/2-$C$39)/24/365,0))/(1/(1-((273+$B43)/(273+$C$36+15)))/2)</f>
        <v>2.825515713134569</v>
      </c>
      <c r="R43" s="23"/>
      <c r="S43" s="25">
        <f>$C$32*$C$33*($C$34-B44)/1000+$C$35*0.00035*($C$34-B44)-$C$35*0.00035*((IF(C$37&lt;-14,0,$C$34-C$37)))*((1/(1-((273+$C$37)/(273+$C$36)))/2)-1)/(1/(1-((273+$C$37)/(273+$C$36)))/2)-$C$38/2/24/365</f>
        <v>5.0525664176006639</v>
      </c>
      <c r="AF43" s="19"/>
      <c r="AG43" s="19"/>
      <c r="AI43" s="4"/>
    </row>
    <row r="44" spans="1:35" x14ac:dyDescent="0.35">
      <c r="B44" s="6">
        <v>-18</v>
      </c>
      <c r="C44" s="45">
        <f>$C$32*$C$33*($C$34-B44)/1000</f>
        <v>4.5599999999999996</v>
      </c>
      <c r="D44" s="45">
        <f>$C$35*0.00035*($C$34-B44)</f>
        <v>1.9949999999999999</v>
      </c>
      <c r="E44" s="8">
        <f t="shared" si="2"/>
        <v>6.5549999999999997</v>
      </c>
      <c r="F44" s="45">
        <f>1/(1-((273+$B44)/(273+$C$36)))/2</f>
        <v>2.9056603773584908</v>
      </c>
      <c r="G44" s="8">
        <f>$C$35*0.00035*((IF(C$37&gt;B44,0,$C$34-C$37)))*(F44-1)/F44</f>
        <v>0</v>
      </c>
      <c r="H44" s="46">
        <f>($C$38/2-$C$39)/24/365</f>
        <v>0.11415525114155251</v>
      </c>
      <c r="I44" s="46">
        <f>1/(1-((273+$B44)/(273+$C$36+20)))/2</f>
        <v>2.2465753424657535</v>
      </c>
      <c r="J44" s="26">
        <f>IF(E44-G44-H44&gt;0,E44-G44-H44,0)</f>
        <v>6.4408447488584475</v>
      </c>
      <c r="K44" s="27">
        <f>B44</f>
        <v>-18</v>
      </c>
      <c r="L44" s="23">
        <f>IF($C$32*$C$33*($C$34-$K44)/1000+L$38*0.00035*($C$34-$K44)-($C$38/2-$C$39)/24/365&gt;0,$C$32*$C$33*($C$34-$K44)/1000+L$38*0.00035*($C$34-$K44)-($C$38/2-$C$39)/24/365,0)</f>
        <v>6.4408447488584475</v>
      </c>
      <c r="M44" s="23">
        <f>IF($C$32*$C$33*($C$34-$K44)/1000+M$38*0.00035*($C$34-$K44)-M$38*0.00035*((IF($C$37&gt;$K44,0,$C$34-$C$37)))*((1/(1-((273+$C$37)/(273+$C$36)))/2)-1)/(1/(1-((273+$C$37)/(273+$C$36)))/2)-($C$38/2-$C$39)/24/365&gt;0,$C$32*$C$33*($C$34-$K44)/1000+M$38*0.00035*($C$34-$K44)-M$38*0.00035*((IF($C$37&gt;$K44,0,$C$34-$C$37)))*((1/(1-((273+$C$37)/(273+$C$36)))/2)-1)/(1/(1-((273+$C$37)/(273+$C$36)))/2)-($C$38/2-$C$39)/24/365,0)</f>
        <v>4.4458447488584474</v>
      </c>
      <c r="N44" s="23">
        <f>IF($C$32*$C$33*($C$34-$K44)/1000+N$38*0.00035*($C$34-$K44)-N$38*0.00035*((IF($C$37&gt;$K44,0,$C$34-$C$37)))*((1/(1-((273+$C$37)/(273+$C$36)))/2)-1)/(1/(1-((273+$C$37)/(273+$C$36)))/2)-($C$38/2-$C$39)/24/365&gt;0,$C$32*$C$33*($C$34-$K44)/1000+N$38*0.00035*($C$34-$K44)-N$38*0.00035*((IF($C$37&gt;$K44,0,$C$34-$C$37)))*((1/(1-((273+$C$37)/(273+$C$36)))/2)-1)/(1/(1-((273+$C$37)/(273+$C$36)))/2)-($C$38/2-$C$39)/24/365,0)</f>
        <v>5.1108447488584474</v>
      </c>
      <c r="O44" s="23">
        <f>IF($C$32*$C$33*($C$34-$K44)/1000+O$38*0.00035*($C$34-$K44)-O$38*0.00035*((IF($C$37&gt;$K44,0,$C$34-$C$37)))*((1/(1-((273+$C$37)/(273+$C$36)))/2)-1)/(1/(1-((273+$C$37)/(273+$C$36)))/2)-($C$38/2-$C$39)/24/365&gt;0,$C$32*$C$33*($C$34-$K44)/1000+O$38*0.00035*($C$34-$K44)-O$38*0.00035*((IF($C$37&gt;$K44,0,$C$34-$C$37)))*((1/(1-((273+$C$37)/(273+$C$36)))/2)-1)/(1/(1-((273+$C$37)/(273+$C$36)))/2)-($C$38/2-$C$39)/24/365,0)</f>
        <v>6.4408447488584475</v>
      </c>
      <c r="P44" s="23">
        <f>IF($C$32*$C$33*($C$34-$K44)/1000+P$38*0.00035*($C$34-$K44)-P$38*0.00035*((IF($C$37&gt;$K44,0,$C$34-$C$37)))*((1/(1-((273+$C$37)/(273+$C$36)))/2)-1)/(1/(1-((273+$C$37)/(273+$C$36)))/2)-($C$38/2-$C$39)/24/365&gt;0,$C$32*$C$33*($C$34-$K44)/1000+P$38*0.00035*($C$34-$K44)-P$38*0.00035*((IF($C$37&gt;$K44,0,$C$34-$C$37)))*((1/(1-((273+$C$37)/(273+$C$36)))/2)-1)/(1/(1-((273+$C$37)/(273+$C$36)))/2)-($C$38/2-$C$39)/24/365,0)</f>
        <v>7.7708447488584476</v>
      </c>
      <c r="Q44" s="23">
        <f>(IF($C$32*$C$33*($C$34-$K44)/1000+Q$38*0.00035*($C$34-$K44)-Q$38*0.00035*((IF($C$37&gt;$K44,0,$C$34-$C$37)))*((1/(1-((273+$C$37)/(273+$C$36)))/2)-1)/(1/(1-((273+$C$37)/(273+$C$36)))/2)-($C$38/2-$C$39)/24/365&gt;0,$C$32*$C$33*($C$34-$K44)/1000+Q$38*0.00035*($C$34-$K44)-Q$38*0.00035*((IF($C$37&gt;$K44,0,$C$34-$C$37)))*((1/(1-((273+$C$37)/(273+$C$36)))/2)-1)/(1/(1-((273+$C$37)/(273+$C$36)))/2)-($C$38/2-$C$39)/24/365,0))/(1/(1-((273+$B44)/(273+$C$36+15)))/2)</f>
        <v>2.7119346310982935</v>
      </c>
      <c r="R44" s="23"/>
      <c r="S44" s="25">
        <f>$C$32*$C$33*($C$34-B45)/1000+$C$35*0.00035*($C$34-B45)-$C$35*0.00035*((IF(C$37&lt;-14,0,$C$34-C$37)))*((1/(1-((273+$C$37)/(273+$C$36)))/2)-1)/(1/(1-((273+$C$37)/(273+$C$36)))/2)-$C$38/2/24/365</f>
        <v>4.8800664176006645</v>
      </c>
      <c r="AF44" s="19"/>
      <c r="AG44" s="19"/>
      <c r="AI44" s="4"/>
    </row>
    <row r="45" spans="1:35" x14ac:dyDescent="0.35">
      <c r="B45" s="6">
        <v>-17</v>
      </c>
      <c r="C45" s="45">
        <f>$C$32*$C$33*($C$34-B45)/1000</f>
        <v>4.4400000000000004</v>
      </c>
      <c r="D45" s="45">
        <f>$C$35*0.00035*($C$34-B45)</f>
        <v>1.9424999999999999</v>
      </c>
      <c r="E45" s="8">
        <f t="shared" si="2"/>
        <v>6.3825000000000003</v>
      </c>
      <c r="F45" s="45">
        <f>1/(1-((273+$B45)/(273+$C$36)))/2</f>
        <v>2.9615384615384626</v>
      </c>
      <c r="G45" s="8">
        <f>$C$35*0.00035*((IF(C$37&gt;B45,0,$C$34-C$37)))*(F45-1)/F45</f>
        <v>0</v>
      </c>
      <c r="H45" s="46">
        <f>($C$38/2-$C$39)/24/365</f>
        <v>0.11415525114155251</v>
      </c>
      <c r="I45" s="46">
        <f>1/(1-((273+$B45)/(273+$C$36+20)))/2</f>
        <v>2.2777777777777781</v>
      </c>
      <c r="J45" s="26">
        <f>IF(E45-G45-H45&gt;0,E45-G45-H45,0)</f>
        <v>6.2683447488584481</v>
      </c>
      <c r="K45" s="27">
        <f>B45</f>
        <v>-17</v>
      </c>
      <c r="L45" s="23">
        <f>IF($C$32*$C$33*($C$34-$K45)/1000+L$38*0.00035*($C$34-$K45)-($C$38/2-$C$39)/24/365&gt;0,$C$32*$C$33*($C$34-$K45)/1000+L$38*0.00035*($C$34-$K45)-($C$38/2-$C$39)/24/365,0)</f>
        <v>6.2683447488584481</v>
      </c>
      <c r="M45" s="23">
        <f>IF($C$32*$C$33*($C$34-$K45)/1000+M$38*0.00035*($C$34-$K45)-M$38*0.00035*((IF($C$37&gt;$K45,0,$C$34-$C$37)))*((1/(1-((273+$C$37)/(273+$C$36)))/2)-1)/(1/(1-((273+$C$37)/(273+$C$36)))/2)-($C$38/2-$C$39)/24/365&gt;0,$C$32*$C$33*($C$34-$K45)/1000+M$38*0.00035*($C$34-$K45)-M$38*0.00035*((IF($C$37&gt;$K45,0,$C$34-$C$37)))*((1/(1-((273+$C$37)/(273+$C$36)))/2)-1)/(1/(1-((273+$C$37)/(273+$C$36)))/2)-($C$38/2-$C$39)/24/365,0)</f>
        <v>4.3258447488584482</v>
      </c>
      <c r="N45" s="23">
        <f>IF($C$32*$C$33*($C$34-$K45)/1000+N$38*0.00035*($C$34-$K45)-N$38*0.00035*((IF($C$37&gt;$K45,0,$C$34-$C$37)))*((1/(1-((273+$C$37)/(273+$C$36)))/2)-1)/(1/(1-((273+$C$37)/(273+$C$36)))/2)-($C$38/2-$C$39)/24/365&gt;0,$C$32*$C$33*($C$34-$K45)/1000+N$38*0.00035*($C$34-$K45)-N$38*0.00035*((IF($C$37&gt;$K45,0,$C$34-$C$37)))*((1/(1-((273+$C$37)/(273+$C$36)))/2)-1)/(1/(1-((273+$C$37)/(273+$C$36)))/2)-($C$38/2-$C$39)/24/365,0)</f>
        <v>4.9733447488584481</v>
      </c>
      <c r="O45" s="23">
        <f>IF($C$32*$C$33*($C$34-$K45)/1000+O$38*0.00035*($C$34-$K45)-O$38*0.00035*((IF($C$37&gt;$K45,0,$C$34-$C$37)))*((1/(1-((273+$C$37)/(273+$C$36)))/2)-1)/(1/(1-((273+$C$37)/(273+$C$36)))/2)-($C$38/2-$C$39)/24/365&gt;0,$C$32*$C$33*($C$34-$K45)/1000+O$38*0.00035*($C$34-$K45)-O$38*0.00035*((IF($C$37&gt;$K45,0,$C$34-$C$37)))*((1/(1-((273+$C$37)/(273+$C$36)))/2)-1)/(1/(1-((273+$C$37)/(273+$C$36)))/2)-($C$38/2-$C$39)/24/365,0)</f>
        <v>6.2683447488584481</v>
      </c>
      <c r="P45" s="23">
        <f>IF($C$32*$C$33*($C$34-$K45)/1000+P$38*0.00035*($C$34-$K45)-P$38*0.00035*((IF($C$37&gt;$K45,0,$C$34-$C$37)))*((1/(1-((273+$C$37)/(273+$C$36)))/2)-1)/(1/(1-((273+$C$37)/(273+$C$36)))/2)-($C$38/2-$C$39)/24/365&gt;0,$C$32*$C$33*($C$34-$K45)/1000+P$38*0.00035*($C$34-$K45)-P$38*0.00035*((IF($C$37&gt;$K45,0,$C$34-$C$37)))*((1/(1-((273+$C$37)/(273+$C$36)))/2)-1)/(1/(1-((273+$C$37)/(273+$C$36)))/2)-($C$38/2-$C$39)/24/365,0)</f>
        <v>7.563344748858448</v>
      </c>
      <c r="Q45" s="23">
        <f>(IF($C$32*$C$33*($C$34-$K45)/1000+Q$38*0.00035*($C$34-$K45)-Q$38*0.00035*((IF($C$37&gt;$K45,0,$C$34-$C$37)))*((1/(1-((273+$C$37)/(273+$C$36)))/2)-1)/(1/(1-((273+$C$37)/(273+$C$36)))/2)-($C$38/2-$C$39)/24/365&gt;0,$C$32*$C$33*($C$34-$K45)/1000+Q$38*0.00035*($C$34-$K45)-Q$38*0.00035*((IF($C$37&gt;$K45,0,$C$34-$C$37)))*((1/(1-((273+$C$37)/(273+$C$36)))/2)-1)/(1/(1-((273+$C$37)/(273+$C$36)))/2)-($C$38/2-$C$39)/24/365,0))/(1/(1-((273+$B45)/(273+$C$36+15)))/2)</f>
        <v>2.6004897719722346</v>
      </c>
      <c r="R45" s="23"/>
      <c r="S45" s="25">
        <f>$C$32*$C$33*($C$34-B46)/1000+$C$35*0.00035*($C$34-B46)-$C$35*0.00035*((IF(C$37&lt;-14,0,$C$34-C$37)))*((1/(1-((273+$C$37)/(273+$C$36)))/2)-1)/(1/(1-((273+$C$37)/(273+$C$36)))/2)-$C$38/2/24/365</f>
        <v>4.7075664176006642</v>
      </c>
      <c r="AF45" s="19"/>
      <c r="AG45" s="19"/>
      <c r="AI45" s="4"/>
    </row>
    <row r="46" spans="1:35" x14ac:dyDescent="0.35">
      <c r="B46" s="6">
        <v>-16</v>
      </c>
      <c r="C46" s="45">
        <f>$C$32*$C$33*($C$34-B46)/1000</f>
        <v>4.32</v>
      </c>
      <c r="D46" s="45">
        <f>$C$35*0.00035*($C$34-B46)</f>
        <v>1.89</v>
      </c>
      <c r="E46" s="8">
        <f t="shared" si="2"/>
        <v>6.21</v>
      </c>
      <c r="F46" s="45">
        <f>1/(1-((273+$B46)/(273+$C$36)))/2</f>
        <v>3.0196078431372544</v>
      </c>
      <c r="G46" s="8">
        <f>$C$35*0.00035*((IF(C$37&gt;B46,0,$C$34-C$37)))*(F46-1)/F46</f>
        <v>0</v>
      </c>
      <c r="H46" s="46">
        <f>($C$38/2-$C$39)/24/365</f>
        <v>0.11415525114155251</v>
      </c>
      <c r="I46" s="46">
        <f>1/(1-((273+$B46)/(273+$C$36+20)))/2</f>
        <v>2.3098591549295779</v>
      </c>
      <c r="J46" s="26">
        <f>IF(E46-G46-H46&gt;0,E46-G46-H46,0)</f>
        <v>6.0958447488584477</v>
      </c>
      <c r="K46" s="27">
        <f>B46</f>
        <v>-16</v>
      </c>
      <c r="L46" s="23">
        <f>IF($C$32*$C$33*($C$34-$K46)/1000+L$38*0.00035*($C$34-$K46)-($C$38/2-$C$39)/24/365&gt;0,$C$32*$C$33*($C$34-$K46)/1000+L$38*0.00035*($C$34-$K46)-($C$38/2-$C$39)/24/365,0)</f>
        <v>6.0958447488584477</v>
      </c>
      <c r="M46" s="23">
        <f>IF($C$32*$C$33*($C$34-$K46)/1000+M$38*0.00035*($C$34-$K46)-M$38*0.00035*((IF($C$37&gt;$K46,0,$C$34-$C$37)))*((1/(1-((273+$C$37)/(273+$C$36)))/2)-1)/(1/(1-((273+$C$37)/(273+$C$36)))/2)-($C$38/2-$C$39)/24/365&gt;0,$C$32*$C$33*($C$34-$K46)/1000+M$38*0.00035*($C$34-$K46)-M$38*0.00035*((IF($C$37&gt;$K46,0,$C$34-$C$37)))*((1/(1-((273+$C$37)/(273+$C$36)))/2)-1)/(1/(1-((273+$C$37)/(273+$C$36)))/2)-($C$38/2-$C$39)/24/365,0)</f>
        <v>4.2058447488584481</v>
      </c>
      <c r="N46" s="23">
        <f>IF($C$32*$C$33*($C$34-$K46)/1000+N$38*0.00035*($C$34-$K46)-N$38*0.00035*((IF($C$37&gt;$K46,0,$C$34-$C$37)))*((1/(1-((273+$C$37)/(273+$C$36)))/2)-1)/(1/(1-((273+$C$37)/(273+$C$36)))/2)-($C$38/2-$C$39)/24/365&gt;0,$C$32*$C$33*($C$34-$K46)/1000+N$38*0.00035*($C$34-$K46)-N$38*0.00035*((IF($C$37&gt;$K46,0,$C$34-$C$37)))*((1/(1-((273+$C$37)/(273+$C$36)))/2)-1)/(1/(1-((273+$C$37)/(273+$C$36)))/2)-($C$38/2-$C$39)/24/365,0)</f>
        <v>4.835844748858448</v>
      </c>
      <c r="O46" s="23">
        <f>IF($C$32*$C$33*($C$34-$K46)/1000+O$38*0.00035*($C$34-$K46)-O$38*0.00035*((IF($C$37&gt;$K46,0,$C$34-$C$37)))*((1/(1-((273+$C$37)/(273+$C$36)))/2)-1)/(1/(1-((273+$C$37)/(273+$C$36)))/2)-($C$38/2-$C$39)/24/365&gt;0,$C$32*$C$33*($C$34-$K46)/1000+O$38*0.00035*($C$34-$K46)-O$38*0.00035*((IF($C$37&gt;$K46,0,$C$34-$C$37)))*((1/(1-((273+$C$37)/(273+$C$36)))/2)-1)/(1/(1-((273+$C$37)/(273+$C$36)))/2)-($C$38/2-$C$39)/24/365,0)</f>
        <v>6.0958447488584477</v>
      </c>
      <c r="P46" s="23">
        <f>IF($C$32*$C$33*($C$34-$K46)/1000+P$38*0.00035*($C$34-$K46)-P$38*0.00035*((IF($C$37&gt;$K46,0,$C$34-$C$37)))*((1/(1-((273+$C$37)/(273+$C$36)))/2)-1)/(1/(1-((273+$C$37)/(273+$C$36)))/2)-($C$38/2-$C$39)/24/365&gt;0,$C$32*$C$33*($C$34-$K46)/1000+P$38*0.00035*($C$34-$K46)-P$38*0.00035*((IF($C$37&gt;$K46,0,$C$34-$C$37)))*((1/(1-((273+$C$37)/(273+$C$36)))/2)-1)/(1/(1-((273+$C$37)/(273+$C$36)))/2)-($C$38/2-$C$39)/24/365,0)</f>
        <v>7.3558447488584484</v>
      </c>
      <c r="Q46" s="23">
        <f>(IF($C$32*$C$33*($C$34-$K46)/1000+Q$38*0.00035*($C$34-$K46)-Q$38*0.00035*((IF($C$37&gt;$K46,0,$C$34-$C$37)))*((1/(1-((273+$C$37)/(273+$C$36)))/2)-1)/(1/(1-((273+$C$37)/(273+$C$36)))/2)-($C$38/2-$C$39)/24/365&gt;0,$C$32*$C$33*($C$34-$K46)/1000+Q$38*0.00035*($C$34-$K46)-Q$38*0.00035*((IF($C$37&gt;$K46,0,$C$34-$C$37)))*((1/(1-((273+$C$37)/(273+$C$36)))/2)-1)/(1/(1-((273+$C$37)/(273+$C$36)))/2)-($C$38/2-$C$39)/24/365,0))/(1/(1-((273+$B46)/(273+$C$36+15)))/2)</f>
        <v>2.4911811357563938</v>
      </c>
      <c r="R46" s="23"/>
      <c r="S46" s="25">
        <f>$C$32*$C$33*($C$34-B47)/1000+$C$35*0.00035*($C$34-B47)-$C$35*0.00035*((IF(C$37&lt;-14,0,$C$34-C$37)))*((1/(1-((273+$C$37)/(273+$C$36)))/2)-1)/(1/(1-((273+$C$37)/(273+$C$36)))/2)-$C$38/2/24/365</f>
        <v>4.5350664176006639</v>
      </c>
      <c r="AF46" s="19"/>
      <c r="AG46" s="19"/>
      <c r="AI46" s="4"/>
    </row>
    <row r="47" spans="1:35" x14ac:dyDescent="0.35">
      <c r="B47" s="6">
        <v>-15</v>
      </c>
      <c r="C47" s="45">
        <f>$C$32*$C$33*($C$34-B47)/1000</f>
        <v>4.2</v>
      </c>
      <c r="D47" s="45">
        <f>$C$35*0.00035*($C$34-B47)</f>
        <v>1.8374999999999999</v>
      </c>
      <c r="E47" s="8">
        <f t="shared" si="2"/>
        <v>6.0374999999999996</v>
      </c>
      <c r="F47" s="45">
        <f>1/(1-((273+$B47)/(273+$C$36)))/2</f>
        <v>3.08</v>
      </c>
      <c r="G47" s="8">
        <f>$C$35*0.00035*((IF(C$37&gt;B47,0,$C$34-C$37)))*(F47-1)/F47</f>
        <v>0</v>
      </c>
      <c r="H47" s="46">
        <f>($C$38/2-$C$39)/24/365</f>
        <v>0.11415525114155251</v>
      </c>
      <c r="I47" s="46">
        <f>1/(1-((273+$B47)/(273+$C$36+20)))/2</f>
        <v>2.3428571428571434</v>
      </c>
      <c r="J47" s="26">
        <f>IF(E47-G47-H47&gt;0,E47-G47-H47,0)</f>
        <v>5.9233447488584474</v>
      </c>
      <c r="K47" s="27">
        <f>B47</f>
        <v>-15</v>
      </c>
      <c r="L47" s="23">
        <f>IF($C$32*$C$33*($C$34-$K47)/1000+L$38*0.00035*($C$34-$K47)-($C$38/2-$C$39)/24/365&gt;0,$C$32*$C$33*($C$34-$K47)/1000+L$38*0.00035*($C$34-$K47)-($C$38/2-$C$39)/24/365,0)</f>
        <v>5.9233447488584474</v>
      </c>
      <c r="M47" s="23">
        <f>IF($C$32*$C$33*($C$34-$K47)/1000+M$38*0.00035*($C$34-$K47)-M$38*0.00035*((IF($C$37&gt;$K47,0,$C$34-$C$37)))*((1/(1-((273+$C$37)/(273+$C$36)))/2)-1)/(1/(1-((273+$C$37)/(273+$C$36)))/2)-($C$38/2-$C$39)/24/365&gt;0,$C$32*$C$33*($C$34-$K47)/1000+M$38*0.00035*($C$34-$K47)-M$38*0.00035*((IF($C$37&gt;$K47,0,$C$34-$C$37)))*((1/(1-((273+$C$37)/(273+$C$36)))/2)-1)/(1/(1-((273+$C$37)/(273+$C$36)))/2)-($C$38/2-$C$39)/24/365,0)</f>
        <v>4.085844748858448</v>
      </c>
      <c r="N47" s="23">
        <f>IF($C$32*$C$33*($C$34-$K47)/1000+N$38*0.00035*($C$34-$K47)-N$38*0.00035*((IF($C$37&gt;$K47,0,$C$34-$C$37)))*((1/(1-((273+$C$37)/(273+$C$36)))/2)-1)/(1/(1-((273+$C$37)/(273+$C$36)))/2)-($C$38/2-$C$39)/24/365&gt;0,$C$32*$C$33*($C$34-$K47)/1000+N$38*0.00035*($C$34-$K47)-N$38*0.00035*((IF($C$37&gt;$K47,0,$C$34-$C$37)))*((1/(1-((273+$C$37)/(273+$C$36)))/2)-1)/(1/(1-((273+$C$37)/(273+$C$36)))/2)-($C$38/2-$C$39)/24/365,0)</f>
        <v>4.6983447488584478</v>
      </c>
      <c r="O47" s="23">
        <f>IF($C$32*$C$33*($C$34-$K47)/1000+O$38*0.00035*($C$34-$K47)-O$38*0.00035*((IF($C$37&gt;$K47,0,$C$34-$C$37)))*((1/(1-((273+$C$37)/(273+$C$36)))/2)-1)/(1/(1-((273+$C$37)/(273+$C$36)))/2)-($C$38/2-$C$39)/24/365&gt;0,$C$32*$C$33*($C$34-$K47)/1000+O$38*0.00035*($C$34-$K47)-O$38*0.00035*((IF($C$37&gt;$K47,0,$C$34-$C$37)))*((1/(1-((273+$C$37)/(273+$C$36)))/2)-1)/(1/(1-((273+$C$37)/(273+$C$36)))/2)-($C$38/2-$C$39)/24/365,0)</f>
        <v>5.9233447488584474</v>
      </c>
      <c r="P47" s="23">
        <f>IF($C$32*$C$33*($C$34-$K47)/1000+P$38*0.00035*($C$34-$K47)-P$38*0.00035*((IF($C$37&gt;$K47,0,$C$34-$C$37)))*((1/(1-((273+$C$37)/(273+$C$36)))/2)-1)/(1/(1-((273+$C$37)/(273+$C$36)))/2)-($C$38/2-$C$39)/24/365&gt;0,$C$32*$C$33*($C$34-$K47)/1000+P$38*0.00035*($C$34-$K47)-P$38*0.00035*((IF($C$37&gt;$K47,0,$C$34-$C$37)))*((1/(1-((273+$C$37)/(273+$C$36)))/2)-1)/(1/(1-((273+$C$37)/(273+$C$36)))/2)-($C$38/2-$C$39)/24/365,0)</f>
        <v>7.148344748858448</v>
      </c>
      <c r="Q47" s="23">
        <f>(IF($C$32*$C$33*($C$34-$K47)/1000+Q$38*0.00035*($C$34-$K47)-Q$38*0.00035*((IF($C$37&gt;$K47,0,$C$34-$C$37)))*((1/(1-((273+$C$37)/(273+$C$36)))/2)-1)/(1/(1-((273+$C$37)/(273+$C$36)))/2)-($C$38/2-$C$39)/24/365&gt;0,$C$32*$C$33*($C$34-$K47)/1000+Q$38*0.00035*($C$34-$K47)-Q$38*0.00035*((IF($C$37&gt;$K47,0,$C$34-$C$37)))*((1/(1-((273+$C$37)/(273+$C$36)))/2)-1)/(1/(1-((273+$C$37)/(273+$C$36)))/2)-($C$38/2-$C$39)/24/365,0))/(1/(1-((273+$B47)/(273+$C$36+15)))/2)</f>
        <v>2.3840087224507682</v>
      </c>
      <c r="R47" s="23"/>
      <c r="S47" s="25">
        <f>$C$32*$C$33*($C$34-B48)/1000+$C$35*0.00035*($C$34-B48)-$C$35*0.00035*((IF(C$37&lt;-14,0,$C$34-C$37)))*((1/(1-((273+$C$37)/(273+$C$36)))/2)-1)/(1/(1-((273+$C$37)/(273+$C$36)))/2)-$C$38/2/24/365</f>
        <v>4.3625664176006644</v>
      </c>
      <c r="AF47" s="19"/>
      <c r="AG47" s="19"/>
      <c r="AI47" s="4"/>
    </row>
    <row r="48" spans="1:35" x14ac:dyDescent="0.35">
      <c r="B48" s="6">
        <v>-14</v>
      </c>
      <c r="C48" s="45">
        <f>$C$32*$C$33*($C$34-B48)/1000</f>
        <v>4.08</v>
      </c>
      <c r="D48" s="45">
        <f>$C$35*0.00035*($C$34-B48)</f>
        <v>1.7849999999999999</v>
      </c>
      <c r="E48" s="8">
        <f t="shared" si="2"/>
        <v>5.8650000000000002</v>
      </c>
      <c r="F48" s="45">
        <f>1/(1-((273+$B48)/(273+$C$36)))/2</f>
        <v>3.1428571428571432</v>
      </c>
      <c r="G48" s="8">
        <f>$C$35*0.00035*((IF(C$37&gt;B48,0,$C$34-C$37)))*(F48-1)/F48</f>
        <v>1.2170454545454545</v>
      </c>
      <c r="H48" s="46">
        <f>($C$38/2-$C$39)/24/365</f>
        <v>0.11415525114155251</v>
      </c>
      <c r="I48" s="46">
        <f>1/(1-((273+$B48)/(273+$C$36+20)))/2</f>
        <v>2.3768115942028989</v>
      </c>
      <c r="J48" s="26">
        <f>IF(E48-G48-H48&gt;0,E48-G48-H48,0)</f>
        <v>4.5337992943129937</v>
      </c>
      <c r="K48" s="27">
        <f>B48</f>
        <v>-14</v>
      </c>
      <c r="L48" s="23">
        <f>IF($C$32*$C$33*($C$34-$K48)/1000+L$38*0.00035*($C$34-$K48)-($C$38/2-$C$39)/24/365&gt;0,$C$32*$C$33*($C$34-$K48)/1000+L$38*0.00035*($C$34-$K48)-($C$38/2-$C$39)/24/365,0)</f>
        <v>5.750844748858448</v>
      </c>
      <c r="M48" s="23">
        <f>IF($C$32*$C$33*($C$34-$K48)/1000+M$38*0.00035*($C$34-$K48)-M$38*0.00035*((IF($C$37&gt;$K48,0,$C$34-$C$37)))*((1/(1-((273+$C$37)/(273+$C$36)))/2)-1)/(1/(1-((273+$C$37)/(273+$C$36)))/2)-($C$38/2-$C$39)/24/365&gt;0,$C$32*$C$33*($C$34-$K48)/1000+M$38*0.00035*($C$34-$K48)-M$38*0.00035*((IF($C$37&gt;$K48,0,$C$34-$C$37)))*((1/(1-((273+$C$37)/(273+$C$36)))/2)-1)/(1/(1-((273+$C$37)/(273+$C$36)))/2)-($C$38/2-$C$39)/24/365,0)</f>
        <v>3.9658447488584474</v>
      </c>
      <c r="N48" s="23">
        <f>IF($C$32*$C$33*($C$34-$K48)/1000+N$38*0.00035*($C$34-$K48)-N$38*0.00035*((IF($C$37&gt;$K48,0,$C$34-$C$37)))*((1/(1-((273+$C$37)/(273+$C$36)))/2)-1)/(1/(1-((273+$C$37)/(273+$C$36)))/2)-($C$38/2-$C$39)/24/365&gt;0,$C$32*$C$33*($C$34-$K48)/1000+N$38*0.00035*($C$34-$K48)-N$38*0.00035*((IF($C$37&gt;$K48,0,$C$34-$C$37)))*((1/(1-((273+$C$37)/(273+$C$36)))/2)-1)/(1/(1-((273+$C$37)/(273+$C$36)))/2)-($C$38/2-$C$39)/24/365,0)</f>
        <v>4.1551629306766298</v>
      </c>
      <c r="O48" s="23">
        <f>IF($C$32*$C$33*($C$34-$K48)/1000+O$38*0.00035*($C$34-$K48)-O$38*0.00035*((IF($C$37&gt;$K48,0,$C$34-$C$37)))*((1/(1-((273+$C$37)/(273+$C$36)))/2)-1)/(1/(1-((273+$C$37)/(273+$C$36)))/2)-($C$38/2-$C$39)/24/365&gt;0,$C$32*$C$33*($C$34-$K48)/1000+O$38*0.00035*($C$34-$K48)-O$38*0.00035*((IF($C$37&gt;$K48,0,$C$34-$C$37)))*((1/(1-((273+$C$37)/(273+$C$36)))/2)-1)/(1/(1-((273+$C$37)/(273+$C$36)))/2)-($C$38/2-$C$39)/24/365,0)</f>
        <v>4.5337992943129937</v>
      </c>
      <c r="P48" s="23">
        <f>IF($C$32*$C$33*($C$34-$K48)/1000+P$38*0.00035*($C$34-$K48)-P$38*0.00035*((IF($C$37&gt;$K48,0,$C$34-$C$37)))*((1/(1-((273+$C$37)/(273+$C$36)))/2)-1)/(1/(1-((273+$C$37)/(273+$C$36)))/2)-($C$38/2-$C$39)/24/365&gt;0,$C$32*$C$33*($C$34-$K48)/1000+P$38*0.00035*($C$34-$K48)-P$38*0.00035*((IF($C$37&gt;$K48,0,$C$34-$C$37)))*((1/(1-((273+$C$37)/(273+$C$36)))/2)-1)/(1/(1-((273+$C$37)/(273+$C$36)))/2)-($C$38/2-$C$39)/24/365,0)</f>
        <v>4.9124356579493567</v>
      </c>
      <c r="Q48" s="23">
        <f>(IF($C$32*$C$33*($C$34-$K48)/1000+Q$38*0.00035*($C$34-$K48)-Q$38*0.00035*((IF($C$37&gt;$K48,0,$C$34-$C$37)))*((1/(1-((273+$C$37)/(273+$C$36)))/2)-1)/(1/(1-((273+$C$37)/(273+$C$36)))/2)-($C$38/2-$C$39)/24/365&gt;0,$C$32*$C$33*($C$34-$K48)/1000+Q$38*0.00035*($C$34-$K48)-Q$38*0.00035*((IF($C$37&gt;$K48,0,$C$34-$C$37)))*((1/(1-((273+$C$37)/(273+$C$36)))/2)-1)/(1/(1-((273+$C$37)/(273+$C$36)))/2)-($C$38/2-$C$39)/24/365,0))/(1/(1-((273+$B48)/(273+$C$36+15)))/2)</f>
        <v>1.7966758813376567</v>
      </c>
      <c r="R48" s="23"/>
      <c r="S48" s="25">
        <f>$C$32*$C$33*($C$34-B49)/1000+$C$35*0.00035*($C$34-B49)-$C$35*0.00035*((IF(C$37&lt;-14,0,$C$34-C$37)))*((1/(1-((273+$C$37)/(273+$C$36)))/2)-1)/(1/(1-((273+$C$37)/(273+$C$36)))/2)-$C$38/2/24/365</f>
        <v>4.1900664176006641</v>
      </c>
      <c r="AF48" s="19"/>
      <c r="AG48" s="19"/>
      <c r="AI48" s="4"/>
    </row>
    <row r="49" spans="1:35" x14ac:dyDescent="0.35">
      <c r="B49" s="6">
        <v>-13</v>
      </c>
      <c r="C49" s="45">
        <f>$C$32*$C$33*($C$34-B49)/1000</f>
        <v>3.96</v>
      </c>
      <c r="D49" s="45">
        <f>$C$35*0.00035*($C$34-B49)</f>
        <v>1.7324999999999999</v>
      </c>
      <c r="E49" s="8">
        <f t="shared" si="2"/>
        <v>5.6924999999999999</v>
      </c>
      <c r="F49" s="45">
        <f>1/(1-((273+$B49)/(273+$C$36)))/2</f>
        <v>3.2083333333333321</v>
      </c>
      <c r="G49" s="8">
        <f>$C$35*0.00035*((IF(C$37&gt;B49,0,$C$34-C$37)))*(F49-1)/F49</f>
        <v>1.2286363636363633</v>
      </c>
      <c r="H49" s="46">
        <f>($C$38/2-$C$39)/24/365</f>
        <v>0.11415525114155251</v>
      </c>
      <c r="I49" s="46">
        <f>1/(1-((273+$B49)/(273+$C$36+20)))/2</f>
        <v>2.4117647058823533</v>
      </c>
      <c r="J49" s="26">
        <f>IF(E49-G49-H49&gt;0,E49-G49-H49,0)</f>
        <v>4.3497083852220841</v>
      </c>
      <c r="K49" s="27">
        <f>B49</f>
        <v>-13</v>
      </c>
      <c r="L49" s="23">
        <f>IF($C$32*$C$33*($C$34-$K49)/1000+L$38*0.00035*($C$34-$K49)-($C$38/2-$C$39)/24/365&gt;0,$C$32*$C$33*($C$34-$K49)/1000+L$38*0.00035*($C$34-$K49)-($C$38/2-$C$39)/24/365,0)</f>
        <v>5.5783447488584477</v>
      </c>
      <c r="M49" s="23">
        <f>IF($C$32*$C$33*($C$34-$K49)/1000+M$38*0.00035*($C$34-$K49)-M$38*0.00035*((IF($C$37&gt;$K49,0,$C$34-$C$37)))*((1/(1-((273+$C$37)/(273+$C$36)))/2)-1)/(1/(1-((273+$C$37)/(273+$C$36)))/2)-($C$38/2-$C$39)/24/365&gt;0,$C$32*$C$33*($C$34-$K49)/1000+M$38*0.00035*($C$34-$K49)-M$38*0.00035*((IF($C$37&gt;$K49,0,$C$34-$C$37)))*((1/(1-((273+$C$37)/(273+$C$36)))/2)-1)/(1/(1-((273+$C$37)/(273+$C$36)))/2)-($C$38/2-$C$39)/24/365,0)</f>
        <v>3.8458447488584473</v>
      </c>
      <c r="N49" s="23">
        <f>IF($C$32*$C$33*($C$34-$K49)/1000+N$38*0.00035*($C$34-$K49)-N$38*0.00035*((IF($C$37&gt;$K49,0,$C$34-$C$37)))*((1/(1-((273+$C$37)/(273+$C$36)))/2)-1)/(1/(1-((273+$C$37)/(273+$C$36)))/2)-($C$38/2-$C$39)/24/365&gt;0,$C$32*$C$33*($C$34-$K49)/1000+N$38*0.00035*($C$34-$K49)-N$38*0.00035*((IF($C$37&gt;$K49,0,$C$34-$C$37)))*((1/(1-((273+$C$37)/(273+$C$36)))/2)-1)/(1/(1-((273+$C$37)/(273+$C$36)))/2)-($C$38/2-$C$39)/24/365,0)</f>
        <v>4.0176629306766296</v>
      </c>
      <c r="O49" s="23">
        <f>IF($C$32*$C$33*($C$34-$K49)/1000+O$38*0.00035*($C$34-$K49)-O$38*0.00035*((IF($C$37&gt;$K49,0,$C$34-$C$37)))*((1/(1-((273+$C$37)/(273+$C$36)))/2)-1)/(1/(1-((273+$C$37)/(273+$C$36)))/2)-($C$38/2-$C$39)/24/365&gt;0,$C$32*$C$33*($C$34-$K49)/1000+O$38*0.00035*($C$34-$K49)-O$38*0.00035*((IF($C$37&gt;$K49,0,$C$34-$C$37)))*((1/(1-((273+$C$37)/(273+$C$36)))/2)-1)/(1/(1-((273+$C$37)/(273+$C$36)))/2)-($C$38/2-$C$39)/24/365,0)</f>
        <v>4.3612992943129933</v>
      </c>
      <c r="P49" s="23">
        <f>IF($C$32*$C$33*($C$34-$K49)/1000+P$38*0.00035*($C$34-$K49)-P$38*0.00035*((IF($C$37&gt;$K49,0,$C$34-$C$37)))*((1/(1-((273+$C$37)/(273+$C$36)))/2)-1)/(1/(1-((273+$C$37)/(273+$C$36)))/2)-($C$38/2-$C$39)/24/365&gt;0,$C$32*$C$33*($C$34-$K49)/1000+P$38*0.00035*($C$34-$K49)-P$38*0.00035*((IF($C$37&gt;$K49,0,$C$34-$C$37)))*((1/(1-((273+$C$37)/(273+$C$36)))/2)-1)/(1/(1-((273+$C$37)/(273+$C$36)))/2)-($C$38/2-$C$39)/24/365,0)</f>
        <v>4.7049356579493571</v>
      </c>
      <c r="Q49" s="23">
        <f>(IF($C$32*$C$33*($C$34-$K49)/1000+Q$38*0.00035*($C$34-$K49)-Q$38*0.00035*((IF($C$37&gt;$K49,0,$C$34-$C$37)))*((1/(1-((273+$C$37)/(273+$C$36)))/2)-1)/(1/(1-((273+$C$37)/(273+$C$36)))/2)-($C$38/2-$C$39)/24/365&gt;0,$C$32*$C$33*($C$34-$K49)/1000+Q$38*0.00035*($C$34-$K49)-Q$38*0.00035*((IF($C$37&gt;$K49,0,$C$34-$C$37)))*((1/(1-((273+$C$37)/(273+$C$36)))/2)-1)/(1/(1-((273+$C$37)/(273+$C$36)))/2)-($C$38/2-$C$39)/24/365,0))/(1/(1-((273+$B49)/(273+$C$36+15)))/2)</f>
        <v>1.7013117990199293</v>
      </c>
      <c r="R49" s="23"/>
      <c r="S49" s="25">
        <f>$C$32*$C$33*($C$34-B50)/1000+$C$35*0.00035*($C$34-B50)-$C$35*0.00035*((IF(C$37&lt;-14,0,$C$34-C$37)))*((1/(1-((273+$C$37)/(273+$C$36)))/2)-1)/(1/(1-((273+$C$37)/(273+$C$36)))/2)-$C$38/2/24/365</f>
        <v>4.0175664176006638</v>
      </c>
      <c r="AF49" s="18"/>
      <c r="AG49" s="18"/>
      <c r="AI49" s="4"/>
    </row>
    <row r="50" spans="1:35" x14ac:dyDescent="0.35">
      <c r="B50" s="6">
        <v>-12</v>
      </c>
      <c r="C50" s="45">
        <f>$C$32*$C$33*($C$34-B50)/1000</f>
        <v>3.84</v>
      </c>
      <c r="D50" s="45">
        <f>$C$35*0.00035*($C$34-B50)</f>
        <v>1.68</v>
      </c>
      <c r="E50" s="8">
        <f t="shared" si="2"/>
        <v>5.52</v>
      </c>
      <c r="F50" s="45">
        <f>1/(1-((273+$B50)/(273+$C$36)))/2</f>
        <v>3.2765957446808507</v>
      </c>
      <c r="G50" s="8">
        <f>$C$35*0.00035*((IF(C$37&gt;B50,0,$C$34-C$37)))*(F50-1)/F50</f>
        <v>1.2402272727272727</v>
      </c>
      <c r="H50" s="46">
        <f>($C$38/2-$C$39)/24/365</f>
        <v>0.11415525114155251</v>
      </c>
      <c r="I50" s="46">
        <f>1/(1-((273+$B50)/(273+$C$36+20)))/2</f>
        <v>2.4477611940298512</v>
      </c>
      <c r="J50" s="26">
        <f>IF(E50-G50-H50&gt;0,E50-G50-H50,0)</f>
        <v>4.1656174761311746</v>
      </c>
      <c r="K50" s="27">
        <f>B50</f>
        <v>-12</v>
      </c>
      <c r="L50" s="23">
        <f>IF($C$32*$C$33*($C$34-$K50)/1000+L$38*0.00035*($C$34-$K50)-($C$38/2-$C$39)/24/365&gt;0,$C$32*$C$33*($C$34-$K50)/1000+L$38*0.00035*($C$34-$K50)-($C$38/2-$C$39)/24/365,0)</f>
        <v>5.4058447488584473</v>
      </c>
      <c r="M50" s="23">
        <f>IF($C$32*$C$33*($C$34-$K50)/1000+M$38*0.00035*($C$34-$K50)-M$38*0.00035*((IF($C$37&gt;$K50,0,$C$34-$C$37)))*((1/(1-((273+$C$37)/(273+$C$36)))/2)-1)/(1/(1-((273+$C$37)/(273+$C$36)))/2)-($C$38/2-$C$39)/24/365&gt;0,$C$32*$C$33*($C$34-$K50)/1000+M$38*0.00035*($C$34-$K50)-M$38*0.00035*((IF($C$37&gt;$K50,0,$C$34-$C$37)))*((1/(1-((273+$C$37)/(273+$C$36)))/2)-1)/(1/(1-((273+$C$37)/(273+$C$36)))/2)-($C$38/2-$C$39)/24/365,0)</f>
        <v>3.7258447488584472</v>
      </c>
      <c r="N50" s="23">
        <f>IF($C$32*$C$33*($C$34-$K50)/1000+N$38*0.00035*($C$34-$K50)-N$38*0.00035*((IF($C$37&gt;$K50,0,$C$34-$C$37)))*((1/(1-((273+$C$37)/(273+$C$36)))/2)-1)/(1/(1-((273+$C$37)/(273+$C$36)))/2)-($C$38/2-$C$39)/24/365&gt;0,$C$32*$C$33*($C$34-$K50)/1000+N$38*0.00035*($C$34-$K50)-N$38*0.00035*((IF($C$37&gt;$K50,0,$C$34-$C$37)))*((1/(1-((273+$C$37)/(273+$C$36)))/2)-1)/(1/(1-((273+$C$37)/(273+$C$36)))/2)-($C$38/2-$C$39)/24/365,0)</f>
        <v>3.8801629306766285</v>
      </c>
      <c r="O50" s="23">
        <f>IF($C$32*$C$33*($C$34-$K50)/1000+O$38*0.00035*($C$34-$K50)-O$38*0.00035*((IF($C$37&gt;$K50,0,$C$34-$C$37)))*((1/(1-((273+$C$37)/(273+$C$36)))/2)-1)/(1/(1-((273+$C$37)/(273+$C$36)))/2)-($C$38/2-$C$39)/24/365&gt;0,$C$32*$C$33*($C$34-$K50)/1000+O$38*0.00035*($C$34-$K50)-O$38*0.00035*((IF($C$37&gt;$K50,0,$C$34-$C$37)))*((1/(1-((273+$C$37)/(273+$C$36)))/2)-1)/(1/(1-((273+$C$37)/(273+$C$36)))/2)-($C$38/2-$C$39)/24/365,0)</f>
        <v>4.188799294312993</v>
      </c>
      <c r="P50" s="23">
        <f>IF($C$32*$C$33*($C$34-$K50)/1000+P$38*0.00035*($C$34-$K50)-P$38*0.00035*((IF($C$37&gt;$K50,0,$C$34-$C$37)))*((1/(1-((273+$C$37)/(273+$C$36)))/2)-1)/(1/(1-((273+$C$37)/(273+$C$36)))/2)-($C$38/2-$C$39)/24/365&gt;0,$C$32*$C$33*($C$34-$K50)/1000+P$38*0.00035*($C$34-$K50)-P$38*0.00035*((IF($C$37&gt;$K50,0,$C$34-$C$37)))*((1/(1-((273+$C$37)/(273+$C$36)))/2)-1)/(1/(1-((273+$C$37)/(273+$C$36)))/2)-($C$38/2-$C$39)/24/365,0)</f>
        <v>4.4974356579493566</v>
      </c>
      <c r="Q50" s="23">
        <f>(IF($C$32*$C$33*($C$34-$K50)/1000+Q$38*0.00035*($C$34-$K50)-Q$38*0.00035*((IF($C$37&gt;$K50,0,$C$34-$C$37)))*((1/(1-((273+$C$37)/(273+$C$36)))/2)-1)/(1/(1-((273+$C$37)/(273+$C$36)))/2)-($C$38/2-$C$39)/24/365&gt;0,$C$32*$C$33*($C$34-$K50)/1000+Q$38*0.00035*($C$34-$K50)-Q$38*0.00035*((IF($C$37&gt;$K50,0,$C$34-$C$37)))*((1/(1-((273+$C$37)/(273+$C$36)))/2)-1)/(1/(1-((273+$C$37)/(273+$C$36)))/2)-($C$38/2-$C$39)/24/365,0))/(1/(1-((273+$B50)/(273+$C$36+15)))/2)</f>
        <v>1.6080839396124182</v>
      </c>
      <c r="R50" s="23"/>
      <c r="S50" s="25">
        <f>$C$32*$C$33*($C$34-B51)/1000+$C$35*0.00035*($C$34-B51)-$C$35*0.00035*((IF(C$37&lt;-14,0,$C$34-C$37)))*((1/(1-((273+$C$37)/(273+$C$36)))/2)-1)/(1/(1-((273+$C$37)/(273+$C$36)))/2)-$C$38/2/24/365</f>
        <v>3.8450664176006644</v>
      </c>
      <c r="AF50" s="18"/>
      <c r="AG50" s="18"/>
    </row>
    <row r="51" spans="1:35" x14ac:dyDescent="0.35">
      <c r="B51" s="6">
        <v>-11</v>
      </c>
      <c r="C51" s="45">
        <f>$C$32*$C$33*($C$34-B51)/1000</f>
        <v>3.72</v>
      </c>
      <c r="D51" s="45">
        <f>$C$35*0.00035*($C$34-B51)</f>
        <v>1.6274999999999999</v>
      </c>
      <c r="E51" s="8">
        <f t="shared" si="2"/>
        <v>5.3475000000000001</v>
      </c>
      <c r="F51" s="45">
        <f>1/(1-((273+$B51)/(273+$C$36)))/2</f>
        <v>3.347826086956522</v>
      </c>
      <c r="G51" s="8">
        <f>$C$35*0.00035*((IF(C$37&gt;B51,0,$C$34-C$37)))*(F51-1)/F51</f>
        <v>1.2518181818181817</v>
      </c>
      <c r="H51" s="46">
        <f>($C$38/2-$C$39)/24/365</f>
        <v>0.11415525114155251</v>
      </c>
      <c r="I51" s="46">
        <f>1/(1-((273+$B51)/(273+$C$36+20)))/2</f>
        <v>2.4848484848484853</v>
      </c>
      <c r="J51" s="26">
        <f>IF(E51-G51-H51&gt;0,E51-G51-H51,0)</f>
        <v>3.9815265670402655</v>
      </c>
      <c r="K51" s="27">
        <f>B51</f>
        <v>-11</v>
      </c>
      <c r="L51" s="23">
        <f>IF($C$32*$C$33*($C$34-$K51)/1000+L$38*0.00035*($C$34-$K51)-($C$38/2-$C$39)/24/365&gt;0,$C$32*$C$33*($C$34-$K51)/1000+L$38*0.00035*($C$34-$K51)-($C$38/2-$C$39)/24/365,0)</f>
        <v>5.2333447488584479</v>
      </c>
      <c r="M51" s="23">
        <f>IF($C$32*$C$33*($C$34-$K51)/1000+M$38*0.00035*($C$34-$K51)-M$38*0.00035*((IF($C$37&gt;$K51,0,$C$34-$C$37)))*((1/(1-((273+$C$37)/(273+$C$36)))/2)-1)/(1/(1-((273+$C$37)/(273+$C$36)))/2)-($C$38/2-$C$39)/24/365&gt;0,$C$32*$C$33*($C$34-$K51)/1000+M$38*0.00035*($C$34-$K51)-M$38*0.00035*((IF($C$37&gt;$K51,0,$C$34-$C$37)))*((1/(1-((273+$C$37)/(273+$C$36)))/2)-1)/(1/(1-((273+$C$37)/(273+$C$36)))/2)-($C$38/2-$C$39)/24/365,0)</f>
        <v>3.6058447488584475</v>
      </c>
      <c r="N51" s="23">
        <f>IF($C$32*$C$33*($C$34-$K51)/1000+N$38*0.00035*($C$34-$K51)-N$38*0.00035*((IF($C$37&gt;$K51,0,$C$34-$C$37)))*((1/(1-((273+$C$37)/(273+$C$36)))/2)-1)/(1/(1-((273+$C$37)/(273+$C$36)))/2)-($C$38/2-$C$39)/24/365&gt;0,$C$32*$C$33*($C$34-$K51)/1000+N$38*0.00035*($C$34-$K51)-N$38*0.00035*((IF($C$37&gt;$K51,0,$C$34-$C$37)))*((1/(1-((273+$C$37)/(273+$C$36)))/2)-1)/(1/(1-((273+$C$37)/(273+$C$36)))/2)-($C$38/2-$C$39)/24/365,0)</f>
        <v>3.7426629306766293</v>
      </c>
      <c r="O51" s="23">
        <f>IF($C$32*$C$33*($C$34-$K51)/1000+O$38*0.00035*($C$34-$K51)-O$38*0.00035*((IF($C$37&gt;$K51,0,$C$34-$C$37)))*((1/(1-((273+$C$37)/(273+$C$36)))/2)-1)/(1/(1-((273+$C$37)/(273+$C$36)))/2)-($C$38/2-$C$39)/24/365&gt;0,$C$32*$C$33*($C$34-$K51)/1000+O$38*0.00035*($C$34-$K51)-O$38*0.00035*((IF($C$37&gt;$K51,0,$C$34-$C$37)))*((1/(1-((273+$C$37)/(273+$C$36)))/2)-1)/(1/(1-((273+$C$37)/(273+$C$36)))/2)-($C$38/2-$C$39)/24/365,0)</f>
        <v>4.0162992943129936</v>
      </c>
      <c r="P51" s="23">
        <f>IF($C$32*$C$33*($C$34-$K51)/1000+P$38*0.00035*($C$34-$K51)-P$38*0.00035*((IF($C$37&gt;$K51,0,$C$34-$C$37)))*((1/(1-((273+$C$37)/(273+$C$36)))/2)-1)/(1/(1-((273+$C$37)/(273+$C$36)))/2)-($C$38/2-$C$39)/24/365&gt;0,$C$32*$C$33*($C$34-$K51)/1000+P$38*0.00035*($C$34-$K51)-P$38*0.00035*((IF($C$37&gt;$K51,0,$C$34-$C$37)))*((1/(1-((273+$C$37)/(273+$C$36)))/2)-1)/(1/(1-((273+$C$37)/(273+$C$36)))/2)-($C$38/2-$C$39)/24/365,0)</f>
        <v>4.2899356579493571</v>
      </c>
      <c r="Q51" s="23">
        <f>(IF($C$32*$C$33*($C$34-$K51)/1000+Q$38*0.00035*($C$34-$K51)-Q$38*0.00035*((IF($C$37&gt;$K51,0,$C$34-$C$37)))*((1/(1-((273+$C$37)/(273+$C$36)))/2)-1)/(1/(1-((273+$C$37)/(273+$C$36)))/2)-($C$38/2-$C$39)/24/365&gt;0,$C$32*$C$33*($C$34-$K51)/1000+Q$38*0.00035*($C$34-$K51)-Q$38*0.00035*((IF($C$37&gt;$K51,0,$C$34-$C$37)))*((1/(1-((273+$C$37)/(273+$C$36)))/2)-1)/(1/(1-((273+$C$37)/(273+$C$36)))/2)-($C$38/2-$C$39)/24/365,0))/(1/(1-((273+$B51)/(273+$C$36+15)))/2)</f>
        <v>1.5169923031151242</v>
      </c>
      <c r="R51" s="23"/>
      <c r="S51" s="25">
        <f>$C$32*$C$33*($C$34-B52)/1000+$C$35*0.00035*($C$34-B52)-$C$35*0.00035*((IF(C$37&lt;-14,0,$C$34-C$37)))*((1/(1-((273+$C$37)/(273+$C$36)))/2)-1)/(1/(1-((273+$C$37)/(273+$C$36)))/2)-$C$38/2/24/365</f>
        <v>3.672566417600664</v>
      </c>
      <c r="AF51" s="19"/>
      <c r="AG51" s="19"/>
    </row>
    <row r="52" spans="1:35" x14ac:dyDescent="0.35">
      <c r="B52" s="6">
        <v>-10</v>
      </c>
      <c r="C52" s="45">
        <f>$C$32*$C$33*($C$34-B52)/1000</f>
        <v>3.6</v>
      </c>
      <c r="D52" s="45">
        <f>$C$35*0.00035*($C$34-B52)</f>
        <v>1.575</v>
      </c>
      <c r="E52" s="8">
        <f t="shared" si="2"/>
        <v>5.1749999999999998</v>
      </c>
      <c r="F52" s="45">
        <f>1/(1-((273+$B52)/(273+$C$36)))/2</f>
        <v>3.4222222222222229</v>
      </c>
      <c r="G52" s="8">
        <f>$C$35*0.00035*((IF(C$37&gt;B52,0,$C$34-C$37)))*(F52-1)/F52</f>
        <v>1.2634090909090909</v>
      </c>
      <c r="H52" s="46">
        <f>($C$38/2-$C$39)/24/365</f>
        <v>0.11415525114155251</v>
      </c>
      <c r="I52" s="46">
        <f>1/(1-((273+$B52)/(273+$C$36+20)))/2</f>
        <v>2.5230769230769239</v>
      </c>
      <c r="J52" s="26">
        <f>IF(E52-G52-H52&gt;0,E52-G52-H52,0)</f>
        <v>3.797435657949356</v>
      </c>
      <c r="K52" s="27">
        <f>B52</f>
        <v>-10</v>
      </c>
      <c r="L52" s="23">
        <f>IF($C$32*$C$33*($C$34-$K52)/1000+L$38*0.00035*($C$34-$K52)-($C$38/2-$C$39)/24/365&gt;0,$C$32*$C$33*($C$34-$K52)/1000+L$38*0.00035*($C$34-$K52)-($C$38/2-$C$39)/24/365,0)</f>
        <v>5.0608447488584476</v>
      </c>
      <c r="M52" s="23">
        <f>IF($C$32*$C$33*($C$34-$K52)/1000+M$38*0.00035*($C$34-$K52)-M$38*0.00035*((IF($C$37&gt;$K52,0,$C$34-$C$37)))*((1/(1-((273+$C$37)/(273+$C$36)))/2)-1)/(1/(1-((273+$C$37)/(273+$C$36)))/2)-($C$38/2-$C$39)/24/365&gt;0,$C$32*$C$33*($C$34-$K52)/1000+M$38*0.00035*($C$34-$K52)-M$38*0.00035*((IF($C$37&gt;$K52,0,$C$34-$C$37)))*((1/(1-((273+$C$37)/(273+$C$36)))/2)-1)/(1/(1-((273+$C$37)/(273+$C$36)))/2)-($C$38/2-$C$39)/24/365,0)</f>
        <v>3.4858447488584474</v>
      </c>
      <c r="N52" s="23">
        <f>IF($C$32*$C$33*($C$34-$K52)/1000+N$38*0.00035*($C$34-$K52)-N$38*0.00035*((IF($C$37&gt;$K52,0,$C$34-$C$37)))*((1/(1-((273+$C$37)/(273+$C$36)))/2)-1)/(1/(1-((273+$C$37)/(273+$C$36)))/2)-($C$38/2-$C$39)/24/365&gt;0,$C$32*$C$33*($C$34-$K52)/1000+N$38*0.00035*($C$34-$K52)-N$38*0.00035*((IF($C$37&gt;$K52,0,$C$34-$C$37)))*((1/(1-((273+$C$37)/(273+$C$36)))/2)-1)/(1/(1-((273+$C$37)/(273+$C$36)))/2)-($C$38/2-$C$39)/24/365,0)</f>
        <v>3.6051629306766291</v>
      </c>
      <c r="O52" s="23">
        <f>IF($C$32*$C$33*($C$34-$K52)/1000+O$38*0.00035*($C$34-$K52)-O$38*0.00035*((IF($C$37&gt;$K52,0,$C$34-$C$37)))*((1/(1-((273+$C$37)/(273+$C$36)))/2)-1)/(1/(1-((273+$C$37)/(273+$C$36)))/2)-($C$38/2-$C$39)/24/365&gt;0,$C$32*$C$33*($C$34-$K52)/1000+O$38*0.00035*($C$34-$K52)-O$38*0.00035*((IF($C$37&gt;$K52,0,$C$34-$C$37)))*((1/(1-((273+$C$37)/(273+$C$36)))/2)-1)/(1/(1-((273+$C$37)/(273+$C$36)))/2)-($C$38/2-$C$39)/24/365,0)</f>
        <v>3.8437992943129928</v>
      </c>
      <c r="P52" s="23">
        <f>IF($C$32*$C$33*($C$34-$K52)/1000+P$38*0.00035*($C$34-$K52)-P$38*0.00035*((IF($C$37&gt;$K52,0,$C$34-$C$37)))*((1/(1-((273+$C$37)/(273+$C$36)))/2)-1)/(1/(1-((273+$C$37)/(273+$C$36)))/2)-($C$38/2-$C$39)/24/365&gt;0,$C$32*$C$33*($C$34-$K52)/1000+P$38*0.00035*($C$34-$K52)-P$38*0.00035*((IF($C$37&gt;$K52,0,$C$34-$C$37)))*((1/(1-((273+$C$37)/(273+$C$36)))/2)-1)/(1/(1-((273+$C$37)/(273+$C$36)))/2)-($C$38/2-$C$39)/24/365,0)</f>
        <v>4.0824356579493566</v>
      </c>
      <c r="Q52" s="23">
        <f>(IF($C$32*$C$33*($C$34-$K52)/1000+Q$38*0.00035*($C$34-$K52)-Q$38*0.00035*((IF($C$37&gt;$K52,0,$C$34-$C$37)))*((1/(1-((273+$C$37)/(273+$C$36)))/2)-1)/(1/(1-((273+$C$37)/(273+$C$36)))/2)-($C$38/2-$C$39)/24/365&gt;0,$C$32*$C$33*($C$34-$K52)/1000+Q$38*0.00035*($C$34-$K52)-Q$38*0.00035*((IF($C$37&gt;$K52,0,$C$34-$C$37)))*((1/(1-((273+$C$37)/(273+$C$36)))/2)-1)/(1/(1-((273+$C$37)/(273+$C$36)))/2)-($C$38/2-$C$39)/24/365,0))/(1/(1-((273+$B52)/(273+$C$36+15)))/2)</f>
        <v>1.4280368895280473</v>
      </c>
      <c r="R52" s="23"/>
      <c r="S52" s="25">
        <f>$C$32*$C$33*($C$34-B53)/1000+$C$35*0.00035*($C$34-B53)-$C$35*0.00035*((IF(C$37&lt;-14,0,$C$34-C$37)))*((1/(1-((273+$C$37)/(273+$C$36)))/2)-1)/(1/(1-((273+$C$37)/(273+$C$36)))/2)-$C$38/2/24/365</f>
        <v>3.5000664176006637</v>
      </c>
      <c r="AF52" s="19"/>
      <c r="AG52" s="19"/>
    </row>
    <row r="53" spans="1:35" s="6" customFormat="1" x14ac:dyDescent="0.35">
      <c r="A53"/>
      <c r="B53" s="6">
        <v>-9</v>
      </c>
      <c r="C53" s="45">
        <f>$C$32*$C$33*($C$34-B53)/1000</f>
        <v>3.48</v>
      </c>
      <c r="D53" s="45">
        <f>$C$35*0.00035*($C$34-B53)</f>
        <v>1.5225</v>
      </c>
      <c r="E53" s="8">
        <f t="shared" si="2"/>
        <v>5.0024999999999995</v>
      </c>
      <c r="F53" s="45">
        <f>1/(1-((273+$B53)/(273+$C$36)))/2</f>
        <v>3.4999999999999987</v>
      </c>
      <c r="G53" s="8">
        <f>$C$35*0.00035*((IF(C$37&gt;B53,0,$C$34-C$37)))*(F53-1)/F53</f>
        <v>1.2749999999999999</v>
      </c>
      <c r="H53" s="46">
        <f>($C$38/2-$C$39)/24/365</f>
        <v>0.11415525114155251</v>
      </c>
      <c r="I53" s="46">
        <f>1/(1-((273+$B53)/(273+$C$36+20)))/2</f>
        <v>2.5625000000000004</v>
      </c>
      <c r="J53" s="26">
        <f>IF(E53-G53-H53&gt;0,E53-G53-H53,0)</f>
        <v>3.6133447488584469</v>
      </c>
      <c r="K53" s="27">
        <f>B53</f>
        <v>-9</v>
      </c>
      <c r="L53" s="23">
        <f>IF($C$32*$C$33*($C$34-$K53)/1000+L$38*0.00035*($C$34-$K53)-($C$38/2-$C$39)/24/365&gt;0,$C$32*$C$33*($C$34-$K53)/1000+L$38*0.00035*($C$34-$K53)-($C$38/2-$C$39)/24/365,0)</f>
        <v>4.8883447488584473</v>
      </c>
      <c r="M53" s="23">
        <f>IF($C$32*$C$33*($C$34-$K53)/1000+M$38*0.00035*($C$34-$K53)-M$38*0.00035*((IF($C$37&gt;$K53,0,$C$34-$C$37)))*((1/(1-((273+$C$37)/(273+$C$36)))/2)-1)/(1/(1-((273+$C$37)/(273+$C$36)))/2)-($C$38/2-$C$39)/24/365&gt;0,$C$32*$C$33*($C$34-$K53)/1000+M$38*0.00035*($C$34-$K53)-M$38*0.00035*((IF($C$37&gt;$K53,0,$C$34-$C$37)))*((1/(1-((273+$C$37)/(273+$C$36)))/2)-1)/(1/(1-((273+$C$37)/(273+$C$36)))/2)-($C$38/2-$C$39)/24/365,0)</f>
        <v>3.3658447488584473</v>
      </c>
      <c r="N53" s="23">
        <f>IF($C$32*$C$33*($C$34-$K53)/1000+N$38*0.00035*($C$34-$K53)-N$38*0.00035*((IF($C$37&gt;$K53,0,$C$34-$C$37)))*((1/(1-((273+$C$37)/(273+$C$36)))/2)-1)/(1/(1-((273+$C$37)/(273+$C$36)))/2)-($C$38/2-$C$39)/24/365&gt;0,$C$32*$C$33*($C$34-$K53)/1000+N$38*0.00035*($C$34-$K53)-N$38*0.00035*((IF($C$37&gt;$K53,0,$C$34-$C$37)))*((1/(1-((273+$C$37)/(273+$C$36)))/2)-1)/(1/(1-((273+$C$37)/(273+$C$36)))/2)-($C$38/2-$C$39)/24/365,0)</f>
        <v>3.4676629306766289</v>
      </c>
      <c r="O53" s="23">
        <f>IF($C$32*$C$33*($C$34-$K53)/1000+O$38*0.00035*($C$34-$K53)-O$38*0.00035*((IF($C$37&gt;$K53,0,$C$34-$C$37)))*((1/(1-((273+$C$37)/(273+$C$36)))/2)-1)/(1/(1-((273+$C$37)/(273+$C$36)))/2)-($C$38/2-$C$39)/24/365&gt;0,$C$32*$C$33*($C$34-$K53)/1000+O$38*0.00035*($C$34-$K53)-O$38*0.00035*((IF($C$37&gt;$K53,0,$C$34-$C$37)))*((1/(1-((273+$C$37)/(273+$C$36)))/2)-1)/(1/(1-((273+$C$37)/(273+$C$36)))/2)-($C$38/2-$C$39)/24/365,0)</f>
        <v>3.6712992943129925</v>
      </c>
      <c r="P53" s="23">
        <f>IF($C$32*$C$33*($C$34-$K53)/1000+P$38*0.00035*($C$34-$K53)-P$38*0.00035*((IF($C$37&gt;$K53,0,$C$34-$C$37)))*((1/(1-((273+$C$37)/(273+$C$36)))/2)-1)/(1/(1-((273+$C$37)/(273+$C$36)))/2)-($C$38/2-$C$39)/24/365&gt;0,$C$32*$C$33*($C$34-$K53)/1000+P$38*0.00035*($C$34-$K53)-P$38*0.00035*((IF($C$37&gt;$K53,0,$C$34-$C$37)))*((1/(1-((273+$C$37)/(273+$C$36)))/2)-1)/(1/(1-((273+$C$37)/(273+$C$36)))/2)-($C$38/2-$C$39)/24/365,0)</f>
        <v>3.8749356579493566</v>
      </c>
      <c r="Q53" s="23">
        <f>(IF($C$32*$C$33*($C$34-$K53)/1000+Q$38*0.00035*($C$34-$K53)-Q$38*0.00035*((IF($C$37&gt;$K53,0,$C$34-$C$37)))*((1/(1-((273+$C$37)/(273+$C$36)))/2)-1)/(1/(1-((273+$C$37)/(273+$C$36)))/2)-($C$38/2-$C$39)/24/365&gt;0,$C$32*$C$33*($C$34-$K53)/1000+Q$38*0.00035*($C$34-$K53)-Q$38*0.00035*((IF($C$37&gt;$K53,0,$C$34-$C$37)))*((1/(1-((273+$C$37)/(273+$C$36)))/2)-1)/(1/(1-((273+$C$37)/(273+$C$36)))/2)-($C$38/2-$C$39)/24/365,0))/(1/(1-((273+$B53)/(273+$C$36+15)))/2)</f>
        <v>1.3412176988511861</v>
      </c>
      <c r="R53" s="23"/>
      <c r="S53" s="25">
        <f>$C$32*$C$33*($C$34-B54)/1000+$C$35*0.00035*($C$34-B54)-$C$35*0.00035*((IF(C$37&lt;-14,0,$C$34-C$37)))*((1/(1-((273+$C$37)/(273+$C$36)))/2)-1)/(1/(1-((273+$C$37)/(273+$C$36)))/2)-$C$38/2/24/365</f>
        <v>3.3275664176006643</v>
      </c>
      <c r="AF53" s="19"/>
      <c r="AG53" s="19"/>
    </row>
    <row r="54" spans="1:35" x14ac:dyDescent="0.35">
      <c r="A54" t="s">
        <v>87</v>
      </c>
      <c r="B54" s="6">
        <v>-8</v>
      </c>
      <c r="C54" s="45">
        <f>$C$32*$C$33*($C$34-B54)/1000</f>
        <v>3.36</v>
      </c>
      <c r="D54" s="45">
        <f>$C$35*0.00035*($C$34-B54)</f>
        <v>1.47</v>
      </c>
      <c r="E54" s="8">
        <f t="shared" si="2"/>
        <v>4.83</v>
      </c>
      <c r="F54" s="45">
        <f>1/(1-((273+$B54)/(273+$C$36)))/2</f>
        <v>3.581395348837209</v>
      </c>
      <c r="G54" s="8">
        <f>$C$35*0.00035*((IF(C$37&gt;B54,0,$C$34-C$37)))*(F54-1)/F54</f>
        <v>1.2865909090909091</v>
      </c>
      <c r="H54" s="46">
        <f>($C$38/2-$C$39)/24/365</f>
        <v>0.11415525114155251</v>
      </c>
      <c r="I54" s="46">
        <f>1/(1-((273+$B54)/(273+$C$36+20)))/2</f>
        <v>2.6031746031746037</v>
      </c>
      <c r="J54" s="26">
        <f>IF(E54-G54-H54&gt;0,E54-G54-H54,0)</f>
        <v>3.4292538397675383</v>
      </c>
      <c r="K54" s="27">
        <f>B54</f>
        <v>-8</v>
      </c>
      <c r="L54" s="23">
        <f>IF($C$32*$C$33*($C$34-$K54)/1000+L$38*0.00035*($C$34-$K54)-($C$38/2-$C$39)/24/365&gt;0,$C$32*$C$33*($C$34-$K54)/1000+L$38*0.00035*($C$34-$K54)-($C$38/2-$C$39)/24/365,0)</f>
        <v>4.7158447488584478</v>
      </c>
      <c r="M54" s="23">
        <f>IF($C$32*$C$33*($C$34-$K54)/1000+M$38*0.00035*($C$34-$K54)-M$38*0.00035*((IF($C$37&gt;$K54,0,$C$34-$C$37)))*((1/(1-((273+$C$37)/(273+$C$36)))/2)-1)/(1/(1-((273+$C$37)/(273+$C$36)))/2)-($C$38/2-$C$39)/24/365&gt;0,$C$32*$C$33*($C$34-$K54)/1000+M$38*0.00035*($C$34-$K54)-M$38*0.00035*((IF($C$37&gt;$K54,0,$C$34-$C$37)))*((1/(1-((273+$C$37)/(273+$C$36)))/2)-1)/(1/(1-((273+$C$37)/(273+$C$36)))/2)-($C$38/2-$C$39)/24/365,0)</f>
        <v>3.2458447488584472</v>
      </c>
      <c r="N54" s="23">
        <f>IF($C$32*$C$33*($C$34-$K54)/1000+N$38*0.00035*($C$34-$K54)-N$38*0.00035*((IF($C$37&gt;$K54,0,$C$34-$C$37)))*((1/(1-((273+$C$37)/(273+$C$36)))/2)-1)/(1/(1-((273+$C$37)/(273+$C$36)))/2)-($C$38/2-$C$39)/24/365&gt;0,$C$32*$C$33*($C$34-$K54)/1000+N$38*0.00035*($C$34-$K54)-N$38*0.00035*((IF($C$37&gt;$K54,0,$C$34-$C$37)))*((1/(1-((273+$C$37)/(273+$C$36)))/2)-1)/(1/(1-((273+$C$37)/(273+$C$36)))/2)-($C$38/2-$C$39)/24/365,0)</f>
        <v>3.3301629306766287</v>
      </c>
      <c r="O54" s="23">
        <f>IF($C$32*$C$33*($C$34-$K54)/1000+O$38*0.00035*($C$34-$K54)-O$38*0.00035*((IF($C$37&gt;$K54,0,$C$34-$C$37)))*((1/(1-((273+$C$37)/(273+$C$36)))/2)-1)/(1/(1-((273+$C$37)/(273+$C$36)))/2)-($C$38/2-$C$39)/24/365&gt;0,$C$32*$C$33*($C$34-$K54)/1000+O$38*0.00035*($C$34-$K54)-O$38*0.00035*((IF($C$37&gt;$K54,0,$C$34-$C$37)))*((1/(1-((273+$C$37)/(273+$C$36)))/2)-1)/(1/(1-((273+$C$37)/(273+$C$36)))/2)-($C$38/2-$C$39)/24/365,0)</f>
        <v>3.4987992943129931</v>
      </c>
      <c r="P54" s="23">
        <f>IF($C$32*$C$33*($C$34-$K54)/1000+P$38*0.00035*($C$34-$K54)-P$38*0.00035*((IF($C$37&gt;$K54,0,$C$34-$C$37)))*((1/(1-((273+$C$37)/(273+$C$36)))/2)-1)/(1/(1-((273+$C$37)/(273+$C$36)))/2)-($C$38/2-$C$39)/24/365&gt;0,$C$32*$C$33*($C$34-$K54)/1000+P$38*0.00035*($C$34-$K54)-P$38*0.00035*((IF($C$37&gt;$K54,0,$C$34-$C$37)))*((1/(1-((273+$C$37)/(273+$C$36)))/2)-1)/(1/(1-((273+$C$37)/(273+$C$36)))/2)-($C$38/2-$C$39)/24/365,0)</f>
        <v>3.6674356579493561</v>
      </c>
      <c r="Q54" s="23">
        <f>(IF($C$32*$C$33*($C$34-$K54)/1000+Q$38*0.00035*($C$34-$K54)-Q$38*0.00035*((IF($C$37&gt;$K54,0,$C$34-$C$37)))*((1/(1-((273+$C$37)/(273+$C$36)))/2)-1)/(1/(1-((273+$C$37)/(273+$C$36)))/2)-($C$38/2-$C$39)/24/365&gt;0,$C$32*$C$33*($C$34-$K54)/1000+Q$38*0.00035*($C$34-$K54)-Q$38*0.00035*((IF($C$37&gt;$K54,0,$C$34-$C$37)))*((1/(1-((273+$C$37)/(273+$C$36)))/2)-1)/(1/(1-((273+$C$37)/(273+$C$36)))/2)-($C$38/2-$C$39)/24/365,0))/(1/(1-((273+$B54)/(273+$C$36+15)))/2)</f>
        <v>1.2565347310845421</v>
      </c>
      <c r="R54" s="23"/>
      <c r="S54" s="25">
        <f>$C$32*$C$33*($C$34-B55)/1000+$C$35*0.00035*($C$34-B55)-$C$35*0.00035*((IF(C$37&lt;-14,0,$C$34-C$37)))*((1/(1-((273+$C$37)/(273+$C$36)))/2)-1)/(1/(1-((273+$C$37)/(273+$C$36)))/2)-$C$38/2/24/365</f>
        <v>3.1550664176006649</v>
      </c>
      <c r="AF54" s="19"/>
      <c r="AG54" s="19"/>
    </row>
    <row r="55" spans="1:35" x14ac:dyDescent="0.35">
      <c r="B55" s="6">
        <v>-7</v>
      </c>
      <c r="C55" s="45">
        <f>$C$32*$C$33*($C$34-B55)/1000</f>
        <v>3.24</v>
      </c>
      <c r="D55" s="45">
        <f>$C$35*0.00035*($C$34-B55)</f>
        <v>1.4175</v>
      </c>
      <c r="E55" s="8">
        <f t="shared" si="2"/>
        <v>4.6575000000000006</v>
      </c>
      <c r="F55" s="45">
        <f>1/(1-((273+$B55)/(273+$C$36)))/2</f>
        <v>3.666666666666667</v>
      </c>
      <c r="G55" s="8">
        <f>$C$35*0.00035*((IF(C$37&gt;B55,0,$C$34-C$37)))*(F55-1)/F55</f>
        <v>1.2981818181818183</v>
      </c>
      <c r="H55" s="46">
        <f>($C$38/2-$C$39)/24/365</f>
        <v>0.11415525114155251</v>
      </c>
      <c r="I55" s="46">
        <f>1/(1-((273+$B55)/(273+$C$36+20)))/2</f>
        <v>2.6451612903225814</v>
      </c>
      <c r="J55" s="26">
        <f>IF(E55-G55-H55&gt;0,E55-G55-H55,0)</f>
        <v>3.2451629306766296</v>
      </c>
      <c r="K55" s="27">
        <f>B55</f>
        <v>-7</v>
      </c>
      <c r="L55" s="23">
        <f>IF($C$32*$C$33*($C$34-$K55)/1000+L$38*0.00035*($C$34-$K55)-($C$38/2-$C$39)/24/365&gt;0,$C$32*$C$33*($C$34-$K55)/1000+L$38*0.00035*($C$34-$K55)-($C$38/2-$C$39)/24/365,0)</f>
        <v>4.5433447488584484</v>
      </c>
      <c r="M55" s="23">
        <f>IF($C$32*$C$33*($C$34-$K55)/1000+M$38*0.00035*($C$34-$K55)-M$38*0.00035*((IF($C$37&gt;$K55,0,$C$34-$C$37)))*((1/(1-((273+$C$37)/(273+$C$36)))/2)-1)/(1/(1-((273+$C$37)/(273+$C$36)))/2)-($C$38/2-$C$39)/24/365&gt;0,$C$32*$C$33*($C$34-$K55)/1000+M$38*0.00035*($C$34-$K55)-M$38*0.00035*((IF($C$37&gt;$K55,0,$C$34-$C$37)))*((1/(1-((273+$C$37)/(273+$C$36)))/2)-1)/(1/(1-((273+$C$37)/(273+$C$36)))/2)-($C$38/2-$C$39)/24/365,0)</f>
        <v>3.1258447488584475</v>
      </c>
      <c r="N55" s="23">
        <f>IF($C$32*$C$33*($C$34-$K55)/1000+N$38*0.00035*($C$34-$K55)-N$38*0.00035*((IF($C$37&gt;$K55,0,$C$34-$C$37)))*((1/(1-((273+$C$37)/(273+$C$36)))/2)-1)/(1/(1-((273+$C$37)/(273+$C$36)))/2)-($C$38/2-$C$39)/24/365&gt;0,$C$32*$C$33*($C$34-$K55)/1000+N$38*0.00035*($C$34-$K55)-N$38*0.00035*((IF($C$37&gt;$K55,0,$C$34-$C$37)))*((1/(1-((273+$C$37)/(273+$C$36)))/2)-1)/(1/(1-((273+$C$37)/(273+$C$36)))/2)-($C$38/2-$C$39)/24/365,0)</f>
        <v>3.1926629306766294</v>
      </c>
      <c r="O55" s="23">
        <f>IF($C$32*$C$33*($C$34-$K55)/1000+O$38*0.00035*($C$34-$K55)-O$38*0.00035*((IF($C$37&gt;$K55,0,$C$34-$C$37)))*((1/(1-((273+$C$37)/(273+$C$36)))/2)-1)/(1/(1-((273+$C$37)/(273+$C$36)))/2)-($C$38/2-$C$39)/24/365&gt;0,$C$32*$C$33*($C$34-$K55)/1000+O$38*0.00035*($C$34-$K55)-O$38*0.00035*((IF($C$37&gt;$K55,0,$C$34-$C$37)))*((1/(1-((273+$C$37)/(273+$C$36)))/2)-1)/(1/(1-((273+$C$37)/(273+$C$36)))/2)-($C$38/2-$C$39)/24/365,0)</f>
        <v>3.3262992943129936</v>
      </c>
      <c r="P55" s="23">
        <f>IF($C$32*$C$33*($C$34-$K55)/1000+P$38*0.00035*($C$34-$K55)-P$38*0.00035*((IF($C$37&gt;$K55,0,$C$34-$C$37)))*((1/(1-((273+$C$37)/(273+$C$36)))/2)-1)/(1/(1-((273+$C$37)/(273+$C$36)))/2)-($C$38/2-$C$39)/24/365&gt;0,$C$32*$C$33*($C$34-$K55)/1000+P$38*0.00035*($C$34-$K55)-P$38*0.00035*((IF($C$37&gt;$K55,0,$C$34-$C$37)))*((1/(1-((273+$C$37)/(273+$C$36)))/2)-1)/(1/(1-((273+$C$37)/(273+$C$36)))/2)-($C$38/2-$C$39)/24/365,0)</f>
        <v>3.4599356579493565</v>
      </c>
      <c r="Q55" s="23">
        <f>(IF($C$32*$C$33*($C$34-$K55)/1000+Q$38*0.00035*($C$34-$K55)-Q$38*0.00035*((IF($C$37&gt;$K55,0,$C$34-$C$37)))*((1/(1-((273+$C$37)/(273+$C$36)))/2)-1)/(1/(1-((273+$C$37)/(273+$C$36)))/2)-($C$38/2-$C$39)/24/365&gt;0,$C$32*$C$33*($C$34-$K55)/1000+Q$38*0.00035*($C$34-$K55)-Q$38*0.00035*((IF($C$37&gt;$K55,0,$C$34-$C$37)))*((1/(1-((273+$C$37)/(273+$C$36)))/2)-1)/(1/(1-((273+$C$37)/(273+$C$36)))/2)-($C$38/2-$C$39)/24/365,0))/(1/(1-((273+$B55)/(273+$C$36+15)))/2)</f>
        <v>1.1739879862281157</v>
      </c>
      <c r="R55" s="23"/>
      <c r="S55" s="25">
        <f>$C$32*$C$33*($C$34-B56)/1000+$C$35*0.00035*($C$34-B56)-$C$35*0.00035*((IF(C$37&lt;-14,0,$C$34-C$37)))*((1/(1-((273+$C$37)/(273+$C$36)))/2)-1)/(1/(1-((273+$C$37)/(273+$C$36)))/2)-$C$38/2/24/365</f>
        <v>2.9825664176006645</v>
      </c>
      <c r="AF55" s="19"/>
      <c r="AG55" s="19"/>
    </row>
    <row r="56" spans="1:35" x14ac:dyDescent="0.35">
      <c r="B56" s="6">
        <v>-6</v>
      </c>
      <c r="C56" s="45">
        <f>$C$32*$C$33*($C$34-B56)/1000</f>
        <v>3.12</v>
      </c>
      <c r="D56" s="45">
        <f>$C$35*0.00035*($C$34-B56)</f>
        <v>1.365</v>
      </c>
      <c r="E56" s="8">
        <f t="shared" si="2"/>
        <v>4.4850000000000003</v>
      </c>
      <c r="F56" s="45">
        <f>1/(1-((273+$B56)/(273+$C$36)))/2</f>
        <v>3.7560975609756109</v>
      </c>
      <c r="G56" s="8">
        <f>$C$35*0.00035*((IF(C$37&gt;B56,0,$C$34-C$37)))*(F56-1)/F56</f>
        <v>1.3097727272727275</v>
      </c>
      <c r="H56" s="46">
        <f>($C$38/2-$C$39)/24/365</f>
        <v>0.11415525114155251</v>
      </c>
      <c r="I56" s="46">
        <f>1/(1-((273+$B56)/(273+$C$36+20)))/2</f>
        <v>2.6885245901639339</v>
      </c>
      <c r="J56" s="26">
        <f>IF(E56-G56-H56&gt;0,E56-G56-H56,0)</f>
        <v>3.0610720215857201</v>
      </c>
      <c r="K56" s="27">
        <f>B56</f>
        <v>-6</v>
      </c>
      <c r="L56" s="23">
        <f>IF($C$32*$C$33*($C$34-$K56)/1000+L$38*0.00035*($C$34-$K56)-($C$38/2-$C$39)/24/365&gt;0,$C$32*$C$33*($C$34-$K56)/1000+L$38*0.00035*($C$34-$K56)-($C$38/2-$C$39)/24/365,0)</f>
        <v>4.3708447488584481</v>
      </c>
      <c r="M56" s="23">
        <f>IF($C$32*$C$33*($C$34-$K56)/1000+M$38*0.00035*($C$34-$K56)-M$38*0.00035*((IF($C$37&gt;$K56,0,$C$34-$C$37)))*((1/(1-((273+$C$37)/(273+$C$36)))/2)-1)/(1/(1-((273+$C$37)/(273+$C$36)))/2)-($C$38/2-$C$39)/24/365&gt;0,$C$32*$C$33*($C$34-$K56)/1000+M$38*0.00035*($C$34-$K56)-M$38*0.00035*((IF($C$37&gt;$K56,0,$C$34-$C$37)))*((1/(1-((273+$C$37)/(273+$C$36)))/2)-1)/(1/(1-((273+$C$37)/(273+$C$36)))/2)-($C$38/2-$C$39)/24/365,0)</f>
        <v>3.0058447488584474</v>
      </c>
      <c r="N56" s="23">
        <f>IF($C$32*$C$33*($C$34-$K56)/1000+N$38*0.00035*($C$34-$K56)-N$38*0.00035*((IF($C$37&gt;$K56,0,$C$34-$C$37)))*((1/(1-((273+$C$37)/(273+$C$36)))/2)-1)/(1/(1-((273+$C$37)/(273+$C$36)))/2)-($C$38/2-$C$39)/24/365&gt;0,$C$32*$C$33*($C$34-$K56)/1000+N$38*0.00035*($C$34-$K56)-N$38*0.00035*((IF($C$37&gt;$K56,0,$C$34-$C$37)))*((1/(1-((273+$C$37)/(273+$C$36)))/2)-1)/(1/(1-((273+$C$37)/(273+$C$36)))/2)-($C$38/2-$C$39)/24/365,0)</f>
        <v>3.0551629306766293</v>
      </c>
      <c r="O56" s="23">
        <f>IF($C$32*$C$33*($C$34-$K56)/1000+O$38*0.00035*($C$34-$K56)-O$38*0.00035*((IF($C$37&gt;$K56,0,$C$34-$C$37)))*((1/(1-((273+$C$37)/(273+$C$36)))/2)-1)/(1/(1-((273+$C$37)/(273+$C$36)))/2)-($C$38/2-$C$39)/24/365&gt;0,$C$32*$C$33*($C$34-$K56)/1000+O$38*0.00035*($C$34-$K56)-O$38*0.00035*((IF($C$37&gt;$K56,0,$C$34-$C$37)))*((1/(1-((273+$C$37)/(273+$C$36)))/2)-1)/(1/(1-((273+$C$37)/(273+$C$36)))/2)-($C$38/2-$C$39)/24/365,0)</f>
        <v>3.1537992943129933</v>
      </c>
      <c r="P56" s="23">
        <f>IF($C$32*$C$33*($C$34-$K56)/1000+P$38*0.00035*($C$34-$K56)-P$38*0.00035*((IF($C$37&gt;$K56,0,$C$34-$C$37)))*((1/(1-((273+$C$37)/(273+$C$36)))/2)-1)/(1/(1-((273+$C$37)/(273+$C$36)))/2)-($C$38/2-$C$39)/24/365&gt;0,$C$32*$C$33*($C$34-$K56)/1000+P$38*0.00035*($C$34-$K56)-P$38*0.00035*((IF($C$37&gt;$K56,0,$C$34-$C$37)))*((1/(1-((273+$C$37)/(273+$C$36)))/2)-1)/(1/(1-((273+$C$37)/(273+$C$36)))/2)-($C$38/2-$C$39)/24/365,0)</f>
        <v>3.2524356579493561</v>
      </c>
      <c r="Q56" s="23">
        <f>(IF($C$32*$C$33*($C$34-$K56)/1000+Q$38*0.00035*($C$34-$K56)-Q$38*0.00035*((IF($C$37&gt;$K56,0,$C$34-$C$37)))*((1/(1-((273+$C$37)/(273+$C$36)))/2)-1)/(1/(1-((273+$C$37)/(273+$C$36)))/2)-($C$38/2-$C$39)/24/365&gt;0,$C$32*$C$33*($C$34-$K56)/1000+Q$38*0.00035*($C$34-$K56)-Q$38*0.00035*((IF($C$37&gt;$K56,0,$C$34-$C$37)))*((1/(1-((273+$C$37)/(273+$C$36)))/2)-1)/(1/(1-((273+$C$37)/(273+$C$36)))/2)-($C$38/2-$C$39)/24/365,0))/(1/(1-((273+$B56)/(273+$C$36+15)))/2)</f>
        <v>1.0935774642819049</v>
      </c>
      <c r="R56" s="23"/>
      <c r="S56" s="25">
        <f>$C$32*$C$33*($C$34-B57)/1000+$C$35*0.00035*($C$34-B57)-$C$35*0.00035*((IF(C$37&lt;-14,0,$C$34-C$37)))*((1/(1-((273+$C$37)/(273+$C$36)))/2)-1)/(1/(1-((273+$C$37)/(273+$C$36)))/2)-$C$38/2/24/365</f>
        <v>2.8100664176006642</v>
      </c>
      <c r="AF56" s="19"/>
      <c r="AG56" s="19"/>
    </row>
    <row r="57" spans="1:35" x14ac:dyDescent="0.35">
      <c r="B57" s="6">
        <v>-5</v>
      </c>
      <c r="C57" s="45">
        <f>$C$32*$C$33*($C$34-B57)/1000</f>
        <v>3</v>
      </c>
      <c r="D57" s="45">
        <f>$C$35*0.00035*($C$34-B57)</f>
        <v>1.3125</v>
      </c>
      <c r="E57" s="8">
        <f t="shared" si="2"/>
        <v>4.3125</v>
      </c>
      <c r="F57" s="45">
        <f>1/(1-((273+$B57)/(273+$C$36)))/2</f>
        <v>3.8499999999999988</v>
      </c>
      <c r="G57" s="8">
        <f>$C$35*0.00035*((IF(C$37&gt;B57,0,$C$34-C$37)))*(F57-1)/F57</f>
        <v>1.3213636363636361</v>
      </c>
      <c r="H57" s="46">
        <f>($C$38/2-$C$39)/24/365</f>
        <v>0.11415525114155251</v>
      </c>
      <c r="I57" s="46">
        <f>1/(1-((273+$B57)/(273+$C$36+20)))/2</f>
        <v>2.7333333333333325</v>
      </c>
      <c r="J57" s="26">
        <f>IF(E57-G57-H57&gt;0,E57-G57-H57,0)</f>
        <v>2.876981112494811</v>
      </c>
      <c r="K57" s="27">
        <f>B57</f>
        <v>-5</v>
      </c>
      <c r="L57" s="23">
        <f>IF($C$32*$C$33*($C$34-$K57)/1000+L$38*0.00035*($C$34-$K57)-($C$38/2-$C$39)/24/365&gt;0,$C$32*$C$33*($C$34-$K57)/1000+L$38*0.00035*($C$34-$K57)-($C$38/2-$C$39)/24/365,0)</f>
        <v>4.1983447488584478</v>
      </c>
      <c r="M57" s="23">
        <f>IF($C$32*$C$33*($C$34-$K57)/1000+M$38*0.00035*($C$34-$K57)-M$38*0.00035*((IF($C$37&gt;$K57,0,$C$34-$C$37)))*((1/(1-((273+$C$37)/(273+$C$36)))/2)-1)/(1/(1-((273+$C$37)/(273+$C$36)))/2)-($C$38/2-$C$39)/24/365&gt;0,$C$32*$C$33*($C$34-$K57)/1000+M$38*0.00035*($C$34-$K57)-M$38*0.00035*((IF($C$37&gt;$K57,0,$C$34-$C$37)))*((1/(1-((273+$C$37)/(273+$C$36)))/2)-1)/(1/(1-((273+$C$37)/(273+$C$36)))/2)-($C$38/2-$C$39)/24/365,0)</f>
        <v>2.8858447488584473</v>
      </c>
      <c r="N57" s="23">
        <f>IF($C$32*$C$33*($C$34-$K57)/1000+N$38*0.00035*($C$34-$K57)-N$38*0.00035*((IF($C$37&gt;$K57,0,$C$34-$C$37)))*((1/(1-((273+$C$37)/(273+$C$36)))/2)-1)/(1/(1-((273+$C$37)/(273+$C$36)))/2)-($C$38/2-$C$39)/24/365&gt;0,$C$32*$C$33*($C$34-$K57)/1000+N$38*0.00035*($C$34-$K57)-N$38*0.00035*((IF($C$37&gt;$K57,0,$C$34-$C$37)))*((1/(1-((273+$C$37)/(273+$C$36)))/2)-1)/(1/(1-((273+$C$37)/(273+$C$36)))/2)-($C$38/2-$C$39)/24/365,0)</f>
        <v>2.9176629306766291</v>
      </c>
      <c r="O57" s="23">
        <f>IF($C$32*$C$33*($C$34-$K57)/1000+O$38*0.00035*($C$34-$K57)-O$38*0.00035*((IF($C$37&gt;$K57,0,$C$34-$C$37)))*((1/(1-((273+$C$37)/(273+$C$36)))/2)-1)/(1/(1-((273+$C$37)/(273+$C$36)))/2)-($C$38/2-$C$39)/24/365&gt;0,$C$32*$C$33*($C$34-$K57)/1000+O$38*0.00035*($C$34-$K57)-O$38*0.00035*((IF($C$37&gt;$K57,0,$C$34-$C$37)))*((1/(1-((273+$C$37)/(273+$C$36)))/2)-1)/(1/(1-((273+$C$37)/(273+$C$36)))/2)-($C$38/2-$C$39)/24/365,0)</f>
        <v>2.981299294312993</v>
      </c>
      <c r="P57" s="23">
        <f>IF($C$32*$C$33*($C$34-$K57)/1000+P$38*0.00035*($C$34-$K57)-P$38*0.00035*((IF($C$37&gt;$K57,0,$C$34-$C$37)))*((1/(1-((273+$C$37)/(273+$C$36)))/2)-1)/(1/(1-((273+$C$37)/(273+$C$36)))/2)-($C$38/2-$C$39)/24/365&gt;0,$C$32*$C$33*($C$34-$K57)/1000+P$38*0.00035*($C$34-$K57)-P$38*0.00035*((IF($C$37&gt;$K57,0,$C$34-$C$37)))*((1/(1-((273+$C$37)/(273+$C$36)))/2)-1)/(1/(1-((273+$C$37)/(273+$C$36)))/2)-($C$38/2-$C$39)/24/365,0)</f>
        <v>3.0449356579493565</v>
      </c>
      <c r="Q57" s="23">
        <f>(IF($C$32*$C$33*($C$34-$K57)/1000+Q$38*0.00035*($C$34-$K57)-Q$38*0.00035*((IF($C$37&gt;$K57,0,$C$34-$C$37)))*((1/(1-((273+$C$37)/(273+$C$36)))/2)-1)/(1/(1-((273+$C$37)/(273+$C$36)))/2)-($C$38/2-$C$39)/24/365&gt;0,$C$32*$C$33*($C$34-$K57)/1000+Q$38*0.00035*($C$34-$K57)-Q$38*0.00035*((IF($C$37&gt;$K57,0,$C$34-$C$37)))*((1/(1-((273+$C$37)/(273+$C$36)))/2)-1)/(1/(1-((273+$C$37)/(273+$C$36)))/2)-($C$38/2-$C$39)/24/365,0))/(1/(1-((273+$B57)/(273+$C$36+15)))/2)</f>
        <v>1.0153031652459108</v>
      </c>
      <c r="R57" s="23"/>
      <c r="S57" s="25">
        <f>$C$32*$C$33*($C$34-B58)/1000+$C$35*0.00035*($C$34-B58)-$C$35*0.00035*((IF(C$37&lt;-14,0,$C$34-C$37)))*((1/(1-((273+$C$37)/(273+$C$36)))/2)-1)/(1/(1-((273+$C$37)/(273+$C$36)))/2)-$C$38/2/24/365</f>
        <v>2.6375664176006639</v>
      </c>
      <c r="AF57" s="19"/>
      <c r="AG57" s="19"/>
    </row>
    <row r="58" spans="1:35" x14ac:dyDescent="0.35">
      <c r="B58" s="6">
        <v>-4</v>
      </c>
      <c r="C58" s="45">
        <f>$C$32*$C$33*($C$34-B58)/1000</f>
        <v>2.88</v>
      </c>
      <c r="D58" s="45">
        <f>$C$35*0.00035*($C$34-B58)</f>
        <v>1.26</v>
      </c>
      <c r="E58" s="8">
        <f t="shared" si="2"/>
        <v>4.1399999999999997</v>
      </c>
      <c r="F58" s="45">
        <f>1/(1-((273+$B58)/(273+$C$36)))/2</f>
        <v>3.9487179487179485</v>
      </c>
      <c r="G58" s="8">
        <f>$C$35*0.00035*((IF(C$37&gt;B58,0,$C$34-C$37)))*(F58-1)/F58</f>
        <v>1.3329545454545455</v>
      </c>
      <c r="H58" s="46">
        <f>($C$38/2-$C$39)/24/365</f>
        <v>0.11415525114155251</v>
      </c>
      <c r="I58" s="46">
        <f>1/(1-((273+$B58)/(273+$C$36+20)))/2</f>
        <v>2.7796610169491518</v>
      </c>
      <c r="J58" s="26">
        <f>IF(E58-G58-H58&gt;0,E58-G58-H58,0)</f>
        <v>2.6928902034039015</v>
      </c>
      <c r="K58" s="27">
        <f>B58</f>
        <v>-4</v>
      </c>
      <c r="L58" s="23">
        <f>IF($C$32*$C$33*($C$34-$K58)/1000+L$38*0.00035*($C$34-$K58)-($C$38/2-$C$39)/24/365&gt;0,$C$32*$C$33*($C$34-$K58)/1000+L$38*0.00035*($C$34-$K58)-($C$38/2-$C$39)/24/365,0)</f>
        <v>4.0258447488584475</v>
      </c>
      <c r="M58" s="23">
        <f>IF($C$32*$C$33*($C$34-$K58)/1000+M$38*0.00035*($C$34-$K58)-M$38*0.00035*((IF($C$37&gt;$K58,0,$C$34-$C$37)))*((1/(1-((273+$C$37)/(273+$C$36)))/2)-1)/(1/(1-((273+$C$37)/(273+$C$36)))/2)-($C$38/2-$C$39)/24/365&gt;0,$C$32*$C$33*($C$34-$K58)/1000+M$38*0.00035*($C$34-$K58)-M$38*0.00035*((IF($C$37&gt;$K58,0,$C$34-$C$37)))*((1/(1-((273+$C$37)/(273+$C$36)))/2)-1)/(1/(1-((273+$C$37)/(273+$C$36)))/2)-($C$38/2-$C$39)/24/365,0)</f>
        <v>2.7658447488584472</v>
      </c>
      <c r="N58" s="23">
        <f>IF($C$32*$C$33*($C$34-$K58)/1000+N$38*0.00035*($C$34-$K58)-N$38*0.00035*((IF($C$37&gt;$K58,0,$C$34-$C$37)))*((1/(1-((273+$C$37)/(273+$C$36)))/2)-1)/(1/(1-((273+$C$37)/(273+$C$36)))/2)-($C$38/2-$C$39)/24/365&gt;0,$C$32*$C$33*($C$34-$K58)/1000+N$38*0.00035*($C$34-$K58)-N$38*0.00035*((IF($C$37&gt;$K58,0,$C$34-$C$37)))*((1/(1-((273+$C$37)/(273+$C$36)))/2)-1)/(1/(1-((273+$C$37)/(273+$C$36)))/2)-($C$38/2-$C$39)/24/365,0)</f>
        <v>2.7801629306766289</v>
      </c>
      <c r="O58" s="23">
        <f>IF($C$32*$C$33*($C$34-$K58)/1000+O$38*0.00035*($C$34-$K58)-O$38*0.00035*((IF($C$37&gt;$K58,0,$C$34-$C$37)))*((1/(1-((273+$C$37)/(273+$C$36)))/2)-1)/(1/(1-((273+$C$37)/(273+$C$36)))/2)-($C$38/2-$C$39)/24/365&gt;0,$C$32*$C$33*($C$34-$K58)/1000+O$38*0.00035*($C$34-$K58)-O$38*0.00035*((IF($C$37&gt;$K58,0,$C$34-$C$37)))*((1/(1-((273+$C$37)/(273+$C$36)))/2)-1)/(1/(1-((273+$C$37)/(273+$C$36)))/2)-($C$38/2-$C$39)/24/365,0)</f>
        <v>2.8087992943129927</v>
      </c>
      <c r="P58" s="23">
        <f>IF($C$32*$C$33*($C$34-$K58)/1000+P$38*0.00035*($C$34-$K58)-P$38*0.00035*((IF($C$37&gt;$K58,0,$C$34-$C$37)))*((1/(1-((273+$C$37)/(273+$C$36)))/2)-1)/(1/(1-((273+$C$37)/(273+$C$36)))/2)-($C$38/2-$C$39)/24/365&gt;0,$C$32*$C$33*($C$34-$K58)/1000+P$38*0.00035*($C$34-$K58)-P$38*0.00035*((IF($C$37&gt;$K58,0,$C$34-$C$37)))*((1/(1-((273+$C$37)/(273+$C$36)))/2)-1)/(1/(1-((273+$C$37)/(273+$C$36)))/2)-($C$38/2-$C$39)/24/365,0)</f>
        <v>2.837435657949356</v>
      </c>
      <c r="Q58" s="23">
        <f>(IF($C$32*$C$33*($C$34-$K58)/1000+Q$38*0.00035*($C$34-$K58)-Q$38*0.00035*((IF($C$37&gt;$K58,0,$C$34-$C$37)))*((1/(1-((273+$C$37)/(273+$C$36)))/2)-1)/(1/(1-((273+$C$37)/(273+$C$36)))/2)-($C$38/2-$C$39)/24/365&gt;0,$C$32*$C$33*($C$34-$K58)/1000+Q$38*0.00035*($C$34-$K58)-Q$38*0.00035*((IF($C$37&gt;$K58,0,$C$34-$C$37)))*((1/(1-((273+$C$37)/(273+$C$36)))/2)-1)/(1/(1-((273+$C$37)/(273+$C$36)))/2)-($C$38/2-$C$39)/24/365,0))/(1/(1-((273+$B58)/(273+$C$36+15)))/2)</f>
        <v>0.93916508912013397</v>
      </c>
      <c r="R58" s="23"/>
      <c r="S58" s="25">
        <f>$C$32*$C$33*($C$34-B59)/1000+$C$35*0.00035*($C$34-B59)-$C$35*0.00035*((IF(C$37&lt;-14,0,$C$34-C$37)))*((1/(1-((273+$C$37)/(273+$C$36)))/2)-1)/(1/(1-((273+$C$37)/(273+$C$36)))/2)-$C$38/2/24/365</f>
        <v>2.4650664176006636</v>
      </c>
      <c r="AF58" s="19"/>
      <c r="AG58" s="19"/>
    </row>
    <row r="59" spans="1:35" x14ac:dyDescent="0.35">
      <c r="B59" s="6">
        <v>-3</v>
      </c>
      <c r="C59" s="45">
        <f>$C$32*$C$33*($C$34-B59)/1000</f>
        <v>2.76</v>
      </c>
      <c r="D59" s="45">
        <f>$C$35*0.00035*($C$34-B59)</f>
        <v>1.2075</v>
      </c>
      <c r="E59" s="8">
        <f t="shared" si="2"/>
        <v>3.9674999999999998</v>
      </c>
      <c r="F59" s="45">
        <f>1/(1-((273+$B59)/(273+$C$36)))/2</f>
        <v>4.052631578947369</v>
      </c>
      <c r="G59" s="8">
        <f>$C$35*0.00035*((IF(C$37&gt;B59,0,$C$34-C$37)))*(F59-1)/F59</f>
        <v>1.3445454545454545</v>
      </c>
      <c r="H59" s="46">
        <f>($C$38/2-$C$39)/24/365</f>
        <v>0.11415525114155251</v>
      </c>
      <c r="I59" s="46">
        <f>1/(1-((273+$B59)/(273+$C$36+20)))/2</f>
        <v>2.8275862068965512</v>
      </c>
      <c r="J59" s="26">
        <f>IF(E59-G59-H59&gt;0,E59-G59-H59,0)</f>
        <v>2.5087992943129929</v>
      </c>
      <c r="K59" s="27">
        <f>B59</f>
        <v>-3</v>
      </c>
      <c r="L59" s="23">
        <f>IF($C$32*$C$33*($C$34-$K59)/1000+L$38*0.00035*($C$34-$K59)-($C$38/2-$C$39)/24/365&gt;0,$C$32*$C$33*($C$34-$K59)/1000+L$38*0.00035*($C$34-$K59)-($C$38/2-$C$39)/24/365,0)</f>
        <v>3.8533447488584471</v>
      </c>
      <c r="M59" s="23">
        <f>IF($C$32*$C$33*($C$34-$K59)/1000+M$38*0.00035*($C$34-$K59)-M$38*0.00035*((IF($C$37&gt;$K59,0,$C$34-$C$37)))*((1/(1-((273+$C$37)/(273+$C$36)))/2)-1)/(1/(1-((273+$C$37)/(273+$C$36)))/2)-($C$38/2-$C$39)/24/365&gt;0,$C$32*$C$33*($C$34-$K59)/1000+M$38*0.00035*($C$34-$K59)-M$38*0.00035*((IF($C$37&gt;$K59,0,$C$34-$C$37)))*((1/(1-((273+$C$37)/(273+$C$36)))/2)-1)/(1/(1-((273+$C$37)/(273+$C$36)))/2)-($C$38/2-$C$39)/24/365,0)</f>
        <v>2.6458447488584471</v>
      </c>
      <c r="N59" s="23">
        <f>IF($C$32*$C$33*($C$34-$K59)/1000+N$38*0.00035*($C$34-$K59)-N$38*0.00035*((IF($C$37&gt;$K59,0,$C$34-$C$37)))*((1/(1-((273+$C$37)/(273+$C$36)))/2)-1)/(1/(1-((273+$C$37)/(273+$C$36)))/2)-($C$38/2-$C$39)/24/365&gt;0,$C$32*$C$33*($C$34-$K59)/1000+N$38*0.00035*($C$34-$K59)-N$38*0.00035*((IF($C$37&gt;$K59,0,$C$34-$C$37)))*((1/(1-((273+$C$37)/(273+$C$36)))/2)-1)/(1/(1-((273+$C$37)/(273+$C$36)))/2)-($C$38/2-$C$39)/24/365,0)</f>
        <v>2.6426629306766287</v>
      </c>
      <c r="O59" s="23">
        <f>IF($C$32*$C$33*($C$34-$K59)/1000+O$38*0.00035*($C$34-$K59)-O$38*0.00035*((IF($C$37&gt;$K59,0,$C$34-$C$37)))*((1/(1-((273+$C$37)/(273+$C$36)))/2)-1)/(1/(1-((273+$C$37)/(273+$C$36)))/2)-($C$38/2-$C$39)/24/365&gt;0,$C$32*$C$33*($C$34-$K59)/1000+O$38*0.00035*($C$34-$K59)-O$38*0.00035*((IF($C$37&gt;$K59,0,$C$34-$C$37)))*((1/(1-((273+$C$37)/(273+$C$36)))/2)-1)/(1/(1-((273+$C$37)/(273+$C$36)))/2)-($C$38/2-$C$39)/24/365,0)</f>
        <v>2.6362992943129924</v>
      </c>
      <c r="P59" s="23">
        <f>IF($C$32*$C$33*($C$34-$K59)/1000+P$38*0.00035*($C$34-$K59)-P$38*0.00035*((IF($C$37&gt;$K59,0,$C$34-$C$37)))*((1/(1-((273+$C$37)/(273+$C$36)))/2)-1)/(1/(1-((273+$C$37)/(273+$C$36)))/2)-($C$38/2-$C$39)/24/365&gt;0,$C$32*$C$33*($C$34-$K59)/1000+P$38*0.00035*($C$34-$K59)-P$38*0.00035*((IF($C$37&gt;$K59,0,$C$34-$C$37)))*((1/(1-((273+$C$37)/(273+$C$36)))/2)-1)/(1/(1-((273+$C$37)/(273+$C$36)))/2)-($C$38/2-$C$39)/24/365,0)</f>
        <v>2.6299356579493556</v>
      </c>
      <c r="Q59" s="23">
        <f>(IF($C$32*$C$33*($C$34-$K59)/1000+Q$38*0.00035*($C$34-$K59)-Q$38*0.00035*((IF($C$37&gt;$K59,0,$C$34-$C$37)))*((1/(1-((273+$C$37)/(273+$C$36)))/2)-1)/(1/(1-((273+$C$37)/(273+$C$36)))/2)-($C$38/2-$C$39)/24/365&gt;0,$C$32*$C$33*($C$34-$K59)/1000+Q$38*0.00035*($C$34-$K59)-Q$38*0.00035*((IF($C$37&gt;$K59,0,$C$34-$C$37)))*((1/(1-((273+$C$37)/(273+$C$36)))/2)-1)/(1/(1-((273+$C$37)/(273+$C$36)))/2)-($C$38/2-$C$39)/24/365,0))/(1/(1-((273+$B59)/(273+$C$36+15)))/2)</f>
        <v>0.86516323590457345</v>
      </c>
      <c r="R59" s="23"/>
      <c r="S59" s="25">
        <f>$C$32*$C$33*($C$34-B60)/1000+$C$35*0.00035*($C$34-B60)-$C$35*0.00035*((IF(C$37&lt;-14,0,$C$34-C$37)))*((1/(1-((273+$C$37)/(273+$C$36)))/2)-1)/(1/(1-((273+$C$37)/(273+$C$36)))/2)-$C$38/2/24/365</f>
        <v>2.2925664176006642</v>
      </c>
    </row>
    <row r="60" spans="1:35" x14ac:dyDescent="0.35">
      <c r="B60" s="6">
        <v>-2</v>
      </c>
      <c r="C60" s="45">
        <f>$C$32*$C$33*($C$34-B60)/1000</f>
        <v>2.64</v>
      </c>
      <c r="D60" s="45">
        <f>$C$35*0.00035*($C$34-B60)</f>
        <v>1.155</v>
      </c>
      <c r="E60" s="8">
        <f t="shared" si="2"/>
        <v>3.7949999999999999</v>
      </c>
      <c r="F60" s="45">
        <f>1/(1-((273+$B60)/(273+$C$36)))/2</f>
        <v>4.1621621621621641</v>
      </c>
      <c r="G60" s="8">
        <f>$C$35*0.00035*((IF(C$37&gt;B60,0,$C$34-C$37)))*(F60-1)/F60</f>
        <v>1.3561363636363639</v>
      </c>
      <c r="H60" s="46">
        <f>($C$38/2-$C$39)/24/365</f>
        <v>0.11415525114155251</v>
      </c>
      <c r="I60" s="46">
        <f>1/(1-((273+$B60)/(273+$C$36+20)))/2</f>
        <v>2.8771929824561395</v>
      </c>
      <c r="J60" s="26">
        <f>IF(E60-G60-H60&gt;0,E60-G60-H60,0)</f>
        <v>2.3247083852220833</v>
      </c>
      <c r="K60" s="27">
        <f>B60</f>
        <v>-2</v>
      </c>
      <c r="L60" s="23">
        <f>IF($C$32*$C$33*($C$34-$K60)/1000+L$38*0.00035*($C$34-$K60)-($C$38/2-$C$39)/24/365&gt;0,$C$32*$C$33*($C$34-$K60)/1000+L$38*0.00035*($C$34-$K60)-($C$38/2-$C$39)/24/365,0)</f>
        <v>3.6808447488584473</v>
      </c>
      <c r="M60" s="23">
        <f>IF($C$32*$C$33*($C$34-$K60)/1000+M$38*0.00035*($C$34-$K60)-M$38*0.00035*((IF($C$37&gt;$K60,0,$C$34-$C$37)))*((1/(1-((273+$C$37)/(273+$C$36)))/2)-1)/(1/(1-((273+$C$37)/(273+$C$36)))/2)-($C$38/2-$C$39)/24/365&gt;0,$C$32*$C$33*($C$34-$K60)/1000+M$38*0.00035*($C$34-$K60)-M$38*0.00035*((IF($C$37&gt;$K60,0,$C$34-$C$37)))*((1/(1-((273+$C$37)/(273+$C$36)))/2)-1)/(1/(1-((273+$C$37)/(273+$C$36)))/2)-($C$38/2-$C$39)/24/365,0)</f>
        <v>2.5258447488584475</v>
      </c>
      <c r="N60" s="23">
        <f>IF($C$32*$C$33*($C$34-$K60)/1000+N$38*0.00035*($C$34-$K60)-N$38*0.00035*((IF($C$37&gt;$K60,0,$C$34-$C$37)))*((1/(1-((273+$C$37)/(273+$C$36)))/2)-1)/(1/(1-((273+$C$37)/(273+$C$36)))/2)-($C$38/2-$C$39)/24/365&gt;0,$C$32*$C$33*($C$34-$K60)/1000+N$38*0.00035*($C$34-$K60)-N$38*0.00035*((IF($C$37&gt;$K60,0,$C$34-$C$37)))*((1/(1-((273+$C$37)/(273+$C$36)))/2)-1)/(1/(1-((273+$C$37)/(273+$C$36)))/2)-($C$38/2-$C$39)/24/365,0)</f>
        <v>2.505162930676629</v>
      </c>
      <c r="O60" s="23">
        <f>IF($C$32*$C$33*($C$34-$K60)/1000+O$38*0.00035*($C$34-$K60)-O$38*0.00035*((IF($C$37&gt;$K60,0,$C$34-$C$37)))*((1/(1-((273+$C$37)/(273+$C$36)))/2)-1)/(1/(1-((273+$C$37)/(273+$C$36)))/2)-($C$38/2-$C$39)/24/365&gt;0,$C$32*$C$33*($C$34-$K60)/1000+O$38*0.00035*($C$34-$K60)-O$38*0.00035*((IF($C$37&gt;$K60,0,$C$34-$C$37)))*((1/(1-((273+$C$37)/(273+$C$36)))/2)-1)/(1/(1-((273+$C$37)/(273+$C$36)))/2)-($C$38/2-$C$39)/24/365,0)</f>
        <v>2.4637992943129929</v>
      </c>
      <c r="P60" s="23">
        <f>IF($C$32*$C$33*($C$34-$K60)/1000+P$38*0.00035*($C$34-$K60)-P$38*0.00035*((IF($C$37&gt;$K60,0,$C$34-$C$37)))*((1/(1-((273+$C$37)/(273+$C$36)))/2)-1)/(1/(1-((273+$C$37)/(273+$C$36)))/2)-($C$38/2-$C$39)/24/365&gt;0,$C$32*$C$33*($C$34-$K60)/1000+P$38*0.00035*($C$34-$K60)-P$38*0.00035*((IF($C$37&gt;$K60,0,$C$34-$C$37)))*((1/(1-((273+$C$37)/(273+$C$36)))/2)-1)/(1/(1-((273+$C$37)/(273+$C$36)))/2)-($C$38/2-$C$39)/24/365,0)</f>
        <v>2.422435657949356</v>
      </c>
      <c r="Q60" s="23">
        <f>(IF($C$32*$C$33*($C$34-$K60)/1000+Q$38*0.00035*($C$34-$K60)-Q$38*0.00035*((IF($C$37&gt;$K60,0,$C$34-$C$37)))*((1/(1-((273+$C$37)/(273+$C$36)))/2)-1)/(1/(1-((273+$C$37)/(273+$C$36)))/2)-($C$38/2-$C$39)/24/365&gt;0,$C$32*$C$33*($C$34-$K60)/1000+Q$38*0.00035*($C$34-$K60)-Q$38*0.00035*((IF($C$37&gt;$K60,0,$C$34-$C$37)))*((1/(1-((273+$C$37)/(273+$C$36)))/2)-1)/(1/(1-((273+$C$37)/(273+$C$36)))/2)-($C$38/2-$C$39)/24/365,0))/(1/(1-((273+$B60)/(273+$C$36+15)))/2)</f>
        <v>0.79329760559922979</v>
      </c>
      <c r="R60" s="23"/>
      <c r="S60" s="25">
        <f>$C$32*$C$33*($C$34-B61)/1000+$C$35*0.00035*($C$34-B61)-$C$35*0.00035*((IF(C$37&lt;-14,0,$C$34-C$37)))*((1/(1-((273+$C$37)/(273+$C$36)))/2)-1)/(1/(1-((273+$C$37)/(273+$C$36)))/2)-$C$38/2/24/365</f>
        <v>2.1200664176006638</v>
      </c>
    </row>
    <row r="61" spans="1:35" x14ac:dyDescent="0.35">
      <c r="B61" s="6">
        <v>-1</v>
      </c>
      <c r="C61" s="45">
        <f>$C$32*$C$33*($C$34-B61)/1000</f>
        <v>2.52</v>
      </c>
      <c r="D61" s="45">
        <f>$C$35*0.00035*($C$34-B61)</f>
        <v>1.1025</v>
      </c>
      <c r="E61" s="8">
        <f t="shared" si="2"/>
        <v>3.6225000000000001</v>
      </c>
      <c r="F61" s="45">
        <f>1/(1-((273+$B61)/(273+$C$36)))/2</f>
        <v>4.2777777777777768</v>
      </c>
      <c r="G61" s="8">
        <f>$C$35*0.00035*((IF(C$37&gt;B61,0,$C$34-C$37)))*(F61-1)/F61</f>
        <v>1.3677272727272727</v>
      </c>
      <c r="H61" s="46">
        <f>($C$38/2-$C$39)/24/365</f>
        <v>0.11415525114155251</v>
      </c>
      <c r="I61" s="46">
        <f>1/(1-((273+$B61)/(273+$C$36+20)))/2</f>
        <v>2.9285714285714279</v>
      </c>
      <c r="J61" s="26">
        <f>IF(E61-G61-H61&gt;0,E61-G61-H61,0)</f>
        <v>2.1406174761311747</v>
      </c>
      <c r="K61" s="27">
        <f>B61</f>
        <v>-1</v>
      </c>
      <c r="L61" s="23">
        <f>IF($C$32*$C$33*($C$34-$K61)/1000+L$38*0.00035*($C$34-$K61)-($C$38/2-$C$39)/24/365&gt;0,$C$32*$C$33*($C$34-$K61)/1000+L$38*0.00035*($C$34-$K61)-($C$38/2-$C$39)/24/365,0)</f>
        <v>3.5083447488584474</v>
      </c>
      <c r="M61" s="23">
        <f>IF($C$32*$C$33*($C$34-$K61)/1000+M$38*0.00035*($C$34-$K61)-M$38*0.00035*((IF($C$37&gt;$K61,0,$C$34-$C$37)))*((1/(1-((273+$C$37)/(273+$C$36)))/2)-1)/(1/(1-((273+$C$37)/(273+$C$36)))/2)-($C$38/2-$C$39)/24/365&gt;0,$C$32*$C$33*($C$34-$K61)/1000+M$38*0.00035*($C$34-$K61)-M$38*0.00035*((IF($C$37&gt;$K61,0,$C$34-$C$37)))*((1/(1-((273+$C$37)/(273+$C$36)))/2)-1)/(1/(1-((273+$C$37)/(273+$C$36)))/2)-($C$38/2-$C$39)/24/365,0)</f>
        <v>2.4058447488584473</v>
      </c>
      <c r="N61" s="23">
        <f>IF($C$32*$C$33*($C$34-$K61)/1000+N$38*0.00035*($C$34-$K61)-N$38*0.00035*((IF($C$37&gt;$K61,0,$C$34-$C$37)))*((1/(1-((273+$C$37)/(273+$C$36)))/2)-1)/(1/(1-((273+$C$37)/(273+$C$36)))/2)-($C$38/2-$C$39)/24/365&gt;0,$C$32*$C$33*($C$34-$K61)/1000+N$38*0.00035*($C$34-$K61)-N$38*0.00035*((IF($C$37&gt;$K61,0,$C$34-$C$37)))*((1/(1-((273+$C$37)/(273+$C$36)))/2)-1)/(1/(1-((273+$C$37)/(273+$C$36)))/2)-($C$38/2-$C$39)/24/365,0)</f>
        <v>2.3676629306766293</v>
      </c>
      <c r="O61" s="23">
        <f>IF($C$32*$C$33*($C$34-$K61)/1000+O$38*0.00035*($C$34-$K61)-O$38*0.00035*((IF($C$37&gt;$K61,0,$C$34-$C$37)))*((1/(1-((273+$C$37)/(273+$C$36)))/2)-1)/(1/(1-((273+$C$37)/(273+$C$36)))/2)-($C$38/2-$C$39)/24/365&gt;0,$C$32*$C$33*($C$34-$K61)/1000+O$38*0.00035*($C$34-$K61)-O$38*0.00035*((IF($C$37&gt;$K61,0,$C$34-$C$37)))*((1/(1-((273+$C$37)/(273+$C$36)))/2)-1)/(1/(1-((273+$C$37)/(273+$C$36)))/2)-($C$38/2-$C$39)/24/365,0)</f>
        <v>2.2912992943129926</v>
      </c>
      <c r="P61" s="23">
        <f>IF($C$32*$C$33*($C$34-$K61)/1000+P$38*0.00035*($C$34-$K61)-P$38*0.00035*((IF($C$37&gt;$K61,0,$C$34-$C$37)))*((1/(1-((273+$C$37)/(273+$C$36)))/2)-1)/(1/(1-((273+$C$37)/(273+$C$36)))/2)-($C$38/2-$C$39)/24/365&gt;0,$C$32*$C$33*($C$34-$K61)/1000+P$38*0.00035*($C$34-$K61)-P$38*0.00035*((IF($C$37&gt;$K61,0,$C$34-$C$37)))*((1/(1-((273+$C$37)/(273+$C$36)))/2)-1)/(1/(1-((273+$C$37)/(273+$C$36)))/2)-($C$38/2-$C$39)/24/365,0)</f>
        <v>2.2149356579493564</v>
      </c>
      <c r="Q61" s="23">
        <f>(IF($C$32*$C$33*($C$34-$K61)/1000+Q$38*0.00035*($C$34-$K61)-Q$38*0.00035*((IF($C$37&gt;$K61,0,$C$34-$C$37)))*((1/(1-((273+$C$37)/(273+$C$36)))/2)-1)/(1/(1-((273+$C$37)/(273+$C$36)))/2)-($C$38/2-$C$39)/24/365&gt;0,$C$32*$C$33*($C$34-$K61)/1000+Q$38*0.00035*($C$34-$K61)-Q$38*0.00035*((IF($C$37&gt;$K61,0,$C$34-$C$37)))*((1/(1-((273+$C$37)/(273+$C$36)))/2)-1)/(1/(1-((273+$C$37)/(273+$C$36)))/2)-($C$38/2-$C$39)/24/365,0))/(1/(1-((273+$B61)/(273+$C$36+15)))/2)</f>
        <v>0.72356819820410312</v>
      </c>
      <c r="R61" s="23"/>
      <c r="S61" s="25">
        <f>$C$32*$C$33*($C$34-B62)/1000+$C$35*0.00035*($C$34-B62)-$C$35*0.00035*((IF(C$37&lt;-14,0,$C$34-C$37)))*((1/(1-((273+$C$37)/(273+$C$36)))/2)-1)/(1/(1-((273+$C$37)/(273+$C$36)))/2)-$C$38/2/24/365</f>
        <v>1.9475664176006646</v>
      </c>
    </row>
    <row r="62" spans="1:35" x14ac:dyDescent="0.35">
      <c r="B62" s="6">
        <v>0</v>
      </c>
      <c r="C62" s="45">
        <f>$C$32*$C$33*($C$34-B62)/1000</f>
        <v>2.4</v>
      </c>
      <c r="D62" s="45">
        <f>$C$35*0.00035*($C$34-B62)</f>
        <v>1.05</v>
      </c>
      <c r="E62" s="8">
        <f t="shared" si="2"/>
        <v>3.45</v>
      </c>
      <c r="F62" s="45">
        <f>1/(1-((273+$B62)/(273+$C$36)))/2</f>
        <v>4.3999999999999995</v>
      </c>
      <c r="G62" s="8">
        <f>$C$35*0.00035*((IF(C$37&gt;B62,0,$C$34-C$37)))*(F62-1)/F62</f>
        <v>1.3793181818181817</v>
      </c>
      <c r="H62" s="46">
        <f>($C$38/2-$C$39)/24/365</f>
        <v>0.11415525114155251</v>
      </c>
      <c r="I62" s="46">
        <f>1/(1-((273+$B62)/(273+$C$36+20)))/2</f>
        <v>2.981818181818181</v>
      </c>
      <c r="J62" s="26">
        <f>IF(E62-G62-H62&gt;0,E62-G62-H62,0)</f>
        <v>1.9565265670402663</v>
      </c>
      <c r="K62" s="27">
        <f>B62</f>
        <v>0</v>
      </c>
      <c r="L62" s="23">
        <f>IF($C$32*$C$33*($C$34-$K62)/1000+L$38*0.00035*($C$34-$K62)-($C$38/2-$C$39)/24/365&gt;0,$C$32*$C$33*($C$34-$K62)/1000+L$38*0.00035*($C$34-$K62)-($C$38/2-$C$39)/24/365,0)</f>
        <v>3.3358447488584475</v>
      </c>
      <c r="M62" s="23">
        <f>IF($C$32*$C$33*($C$34-$K62)/1000+M$38*0.00035*($C$34-$K62)-M$38*0.00035*((IF($C$37&gt;$K62,0,$C$34-$C$37)))*((1/(1-((273+$C$37)/(273+$C$36)))/2)-1)/(1/(1-((273+$C$37)/(273+$C$36)))/2)-($C$38/2-$C$39)/24/365&gt;0,$C$32*$C$33*($C$34-$K62)/1000+M$38*0.00035*($C$34-$K62)-M$38*0.00035*((IF($C$37&gt;$K62,0,$C$34-$C$37)))*((1/(1-((273+$C$37)/(273+$C$36)))/2)-1)/(1/(1-((273+$C$37)/(273+$C$36)))/2)-($C$38/2-$C$39)/24/365,0)</f>
        <v>2.2858447488584472</v>
      </c>
      <c r="N62" s="23">
        <f>IF($C$32*$C$33*($C$34-$K62)/1000+N$38*0.00035*($C$34-$K62)-N$38*0.00035*((IF($C$37&gt;$K62,0,$C$34-$C$37)))*((1/(1-((273+$C$37)/(273+$C$36)))/2)-1)/(1/(1-((273+$C$37)/(273+$C$36)))/2)-($C$38/2-$C$39)/24/365&gt;0,$C$32*$C$33*($C$34-$K62)/1000+N$38*0.00035*($C$34-$K62)-N$38*0.00035*((IF($C$37&gt;$K62,0,$C$34-$C$37)))*((1/(1-((273+$C$37)/(273+$C$36)))/2)-1)/(1/(1-((273+$C$37)/(273+$C$36)))/2)-($C$38/2-$C$39)/24/365,0)</f>
        <v>2.2301629306766291</v>
      </c>
      <c r="O62" s="23">
        <f>IF($C$32*$C$33*($C$34-$K62)/1000+O$38*0.00035*($C$34-$K62)-O$38*0.00035*((IF($C$37&gt;$K62,0,$C$34-$C$37)))*((1/(1-((273+$C$37)/(273+$C$36)))/2)-1)/(1/(1-((273+$C$37)/(273+$C$36)))/2)-($C$38/2-$C$39)/24/365&gt;0,$C$32*$C$33*($C$34-$K62)/1000+O$38*0.00035*($C$34-$K62)-O$38*0.00035*((IF($C$37&gt;$K62,0,$C$34-$C$37)))*((1/(1-((273+$C$37)/(273+$C$36)))/2)-1)/(1/(1-((273+$C$37)/(273+$C$36)))/2)-($C$38/2-$C$39)/24/365,0)</f>
        <v>2.1187992943129932</v>
      </c>
      <c r="P62" s="23">
        <f>IF($C$32*$C$33*($C$34-$K62)/1000+P$38*0.00035*($C$34-$K62)-P$38*0.00035*((IF($C$37&gt;$K62,0,$C$34-$C$37)))*((1/(1-((273+$C$37)/(273+$C$36)))/2)-1)/(1/(1-((273+$C$37)/(273+$C$36)))/2)-($C$38/2-$C$39)/24/365&gt;0,$C$32*$C$33*($C$34-$K62)/1000+P$38*0.00035*($C$34-$K62)-P$38*0.00035*((IF($C$37&gt;$K62,0,$C$34-$C$37)))*((1/(1-((273+$C$37)/(273+$C$36)))/2)-1)/(1/(1-((273+$C$37)/(273+$C$36)))/2)-($C$38/2-$C$39)/24/365,0)</f>
        <v>2.0074356579493569</v>
      </c>
      <c r="Q62" s="23">
        <f>(IF($C$32*$C$33*($C$34-$K62)/1000+Q$38*0.00035*($C$34-$K62)-Q$38*0.00035*((IF($C$37&gt;$K62,0,$C$34-$C$37)))*((1/(1-((273+$C$37)/(273+$C$36)))/2)-1)/(1/(1-((273+$C$37)/(273+$C$36)))/2)-($C$38/2-$C$39)/24/365&gt;0,$C$32*$C$33*($C$34-$K62)/1000+Q$38*0.00035*($C$34-$K62)-Q$38*0.00035*((IF($C$37&gt;$K62,0,$C$34-$C$37)))*((1/(1-((273+$C$37)/(273+$C$36)))/2)-1)/(1/(1-((273+$C$37)/(273+$C$36)))/2)-($C$38/2-$C$39)/24/365,0))/(1/(1-((273+$B62)/(273+$C$36+15)))/2)</f>
        <v>0.65597501371919298</v>
      </c>
      <c r="R62" s="23"/>
    </row>
    <row r="63" spans="1:35" x14ac:dyDescent="0.35">
      <c r="B63" s="6">
        <v>1</v>
      </c>
      <c r="C63" s="45">
        <f>$C$32*$C$33*($C$34-B63)/1000</f>
        <v>2.2799999999999998</v>
      </c>
      <c r="D63" s="45">
        <f>$C$35*0.00035*($C$34-B63)</f>
        <v>0.99749999999999994</v>
      </c>
      <c r="E63" s="8">
        <f t="shared" si="2"/>
        <v>3.2774999999999999</v>
      </c>
      <c r="F63" s="45">
        <f>1/(1-((273+$B63)/(273+$C$36)))/2</f>
        <v>4.5294117647058831</v>
      </c>
      <c r="G63" s="8">
        <f>$C$35*0.00035*((IF(C$37&gt;B63,0,$C$34-C$37)))*(F63-1)/F63</f>
        <v>1.3909090909090909</v>
      </c>
      <c r="H63" s="46">
        <f>($C$38/2-$C$39)/24/365</f>
        <v>0.11415525114155251</v>
      </c>
      <c r="I63" s="46">
        <f>1/(1-((273+$B63)/(273+$C$36+20)))/2</f>
        <v>3.0370370370370363</v>
      </c>
      <c r="J63" s="26">
        <f>IF(E63-G63-H63&gt;0,E63-G63-H63,0)</f>
        <v>1.7724356579493565</v>
      </c>
      <c r="K63" s="27">
        <f>B63</f>
        <v>1</v>
      </c>
      <c r="L63" s="23">
        <f>IF($C$32*$C$33*($C$34-$K63)/1000+L$38*0.00035*($C$34-$K63)-($C$38/2-$C$39)/24/365&gt;0,$C$32*$C$33*($C$34-$K63)/1000+L$38*0.00035*($C$34-$K63)-($C$38/2-$C$39)/24/365,0)</f>
        <v>3.1633447488584472</v>
      </c>
      <c r="M63" s="23">
        <f>IF($C$32*$C$33*($C$34-$K63)/1000+M$38*0.00035*($C$34-$K63)-M$38*0.00035*((IF($C$37&gt;$K63,0,$C$34-$C$37)))*((1/(1-((273+$C$37)/(273+$C$36)))/2)-1)/(1/(1-((273+$C$37)/(273+$C$36)))/2)-($C$38/2-$C$39)/24/365&gt;0,$C$32*$C$33*($C$34-$K63)/1000+M$38*0.00035*($C$34-$K63)-M$38*0.00035*((IF($C$37&gt;$K63,0,$C$34-$C$37)))*((1/(1-((273+$C$37)/(273+$C$36)))/2)-1)/(1/(1-((273+$C$37)/(273+$C$36)))/2)-($C$38/2-$C$39)/24/365,0)</f>
        <v>2.1658447488584471</v>
      </c>
      <c r="N63" s="23">
        <f>IF($C$32*$C$33*($C$34-$K63)/1000+N$38*0.00035*($C$34-$K63)-N$38*0.00035*((IF($C$37&gt;$K63,0,$C$34-$C$37)))*((1/(1-((273+$C$37)/(273+$C$36)))/2)-1)/(1/(1-((273+$C$37)/(273+$C$36)))/2)-($C$38/2-$C$39)/24/365&gt;0,$C$32*$C$33*($C$34-$K63)/1000+N$38*0.00035*($C$34-$K63)-N$38*0.00035*((IF($C$37&gt;$K63,0,$C$34-$C$37)))*((1/(1-((273+$C$37)/(273+$C$36)))/2)-1)/(1/(1-((273+$C$37)/(273+$C$36)))/2)-($C$38/2-$C$39)/24/365,0)</f>
        <v>2.0926629306766289</v>
      </c>
      <c r="O63" s="23">
        <f>IF($C$32*$C$33*($C$34-$K63)/1000+O$38*0.00035*($C$34-$K63)-O$38*0.00035*((IF($C$37&gt;$K63,0,$C$34-$C$37)))*((1/(1-((273+$C$37)/(273+$C$36)))/2)-1)/(1/(1-((273+$C$37)/(273+$C$36)))/2)-($C$38/2-$C$39)/24/365&gt;0,$C$32*$C$33*($C$34-$K63)/1000+O$38*0.00035*($C$34-$K63)-O$38*0.00035*((IF($C$37&gt;$K63,0,$C$34-$C$37)))*((1/(1-((273+$C$37)/(273+$C$36)))/2)-1)/(1/(1-((273+$C$37)/(273+$C$36)))/2)-($C$38/2-$C$39)/24/365,0)</f>
        <v>1.9462992943129931</v>
      </c>
      <c r="P63" s="23">
        <f>IF($C$32*$C$33*($C$34-$K63)/1000+P$38*0.00035*($C$34-$K63)-P$38*0.00035*((IF($C$37&gt;$K63,0,$C$34-$C$37)))*((1/(1-((273+$C$37)/(273+$C$36)))/2)-1)/(1/(1-((273+$C$37)/(273+$C$36)))/2)-($C$38/2-$C$39)/24/365&gt;0,$C$32*$C$33*($C$34-$K63)/1000+P$38*0.00035*($C$34-$K63)-P$38*0.00035*((IF($C$37&gt;$K63,0,$C$34-$C$37)))*((1/(1-((273+$C$37)/(273+$C$36)))/2)-1)/(1/(1-((273+$C$37)/(273+$C$36)))/2)-($C$38/2-$C$39)/24/365,0)</f>
        <v>1.7999356579493566</v>
      </c>
      <c r="Q63" s="23">
        <f>(IF($C$32*$C$33*($C$34-$K63)/1000+Q$38*0.00035*($C$34-$K63)-Q$38*0.00035*((IF($C$37&gt;$K63,0,$C$34-$C$37)))*((1/(1-((273+$C$37)/(273+$C$36)))/2)-1)/(1/(1-((273+$C$37)/(273+$C$36)))/2)-($C$38/2-$C$39)/24/365&gt;0,$C$32*$C$33*($C$34-$K63)/1000+Q$38*0.00035*($C$34-$K63)-Q$38*0.00035*((IF($C$37&gt;$K63,0,$C$34-$C$37)))*((1/(1-((273+$C$37)/(273+$C$36)))/2)-1)/(1/(1-((273+$C$37)/(273+$C$36)))/2)-($C$38/2-$C$39)/24/365,0))/(1/(1-((273+$B63)/(273+$C$36+15)))/2)</f>
        <v>0.59051805214449937</v>
      </c>
      <c r="R63" s="23"/>
    </row>
    <row r="64" spans="1:35" x14ac:dyDescent="0.35">
      <c r="B64" s="6">
        <v>2</v>
      </c>
      <c r="C64" s="45">
        <f>$C$32*$C$33*($C$34-B64)/1000</f>
        <v>2.16</v>
      </c>
      <c r="D64" s="45">
        <f>$C$35*0.00035*($C$34-B64)</f>
        <v>0.94499999999999995</v>
      </c>
      <c r="E64" s="8">
        <f t="shared" si="2"/>
        <v>3.105</v>
      </c>
      <c r="F64" s="45">
        <f>1/(1-((273+$B64)/(273+$C$36)))/2</f>
        <v>4.6666666666666687</v>
      </c>
      <c r="G64" s="8">
        <f>$C$35*0.00035*((IF(C$37&gt;B64,0,$C$34-C$37)))*(F64-1)/F64</f>
        <v>1.4025000000000001</v>
      </c>
      <c r="H64" s="46">
        <f>($C$38/2-$C$39)/24/365</f>
        <v>0.11415525114155251</v>
      </c>
      <c r="I64" s="46">
        <f>1/(1-((273+$B64)/(273+$C$36+20)))/2</f>
        <v>3.0943396226415087</v>
      </c>
      <c r="J64" s="26">
        <f>IF(E64-G64-H64&gt;0,E64-G64-H64,0)</f>
        <v>1.5883447488584475</v>
      </c>
      <c r="K64" s="27">
        <f>B64</f>
        <v>2</v>
      </c>
      <c r="L64" s="23">
        <f>IF($C$32*$C$33*($C$34-$K64)/1000+L$38*0.00035*($C$34-$K64)-($C$38/2-$C$39)/24/365&gt;0,$C$32*$C$33*($C$34-$K64)/1000+L$38*0.00035*($C$34-$K64)-($C$38/2-$C$39)/24/365,0)</f>
        <v>2.9908447488584473</v>
      </c>
      <c r="M64" s="23">
        <f>IF($C$32*$C$33*($C$34-$K64)/1000+M$38*0.00035*($C$34-$K64)-M$38*0.00035*((IF($C$37&gt;$K64,0,$C$34-$C$37)))*((1/(1-((273+$C$37)/(273+$C$36)))/2)-1)/(1/(1-((273+$C$37)/(273+$C$36)))/2)-($C$38/2-$C$39)/24/365&gt;0,$C$32*$C$33*($C$34-$K64)/1000+M$38*0.00035*($C$34-$K64)-M$38*0.00035*((IF($C$37&gt;$K64,0,$C$34-$C$37)))*((1/(1-((273+$C$37)/(273+$C$36)))/2)-1)/(1/(1-((273+$C$37)/(273+$C$36)))/2)-($C$38/2-$C$39)/24/365,0)</f>
        <v>2.0458447488584475</v>
      </c>
      <c r="N64" s="23">
        <f>IF($C$32*$C$33*($C$34-$K64)/1000+N$38*0.00035*($C$34-$K64)-N$38*0.00035*((IF($C$37&gt;$K64,0,$C$34-$C$37)))*((1/(1-((273+$C$37)/(273+$C$36)))/2)-1)/(1/(1-((273+$C$37)/(273+$C$36)))/2)-($C$38/2-$C$39)/24/365&gt;0,$C$32*$C$33*($C$34-$K64)/1000+N$38*0.00035*($C$34-$K64)-N$38*0.00035*((IF($C$37&gt;$K64,0,$C$34-$C$37)))*((1/(1-((273+$C$37)/(273+$C$36)))/2)-1)/(1/(1-((273+$C$37)/(273+$C$36)))/2)-($C$38/2-$C$39)/24/365,0)</f>
        <v>1.9551629306766294</v>
      </c>
      <c r="O64" s="23">
        <f>IF($C$32*$C$33*($C$34-$K64)/1000+O$38*0.00035*($C$34-$K64)-O$38*0.00035*((IF($C$37&gt;$K64,0,$C$34-$C$37)))*((1/(1-((273+$C$37)/(273+$C$36)))/2)-1)/(1/(1-((273+$C$37)/(273+$C$36)))/2)-($C$38/2-$C$39)/24/365&gt;0,$C$32*$C$33*($C$34-$K64)/1000+O$38*0.00035*($C$34-$K64)-O$38*0.00035*((IF($C$37&gt;$K64,0,$C$34-$C$37)))*((1/(1-((273+$C$37)/(273+$C$36)))/2)-1)/(1/(1-((273+$C$37)/(273+$C$36)))/2)-($C$38/2-$C$39)/24/365,0)</f>
        <v>1.773799294312993</v>
      </c>
      <c r="P64" s="23">
        <f>IF($C$32*$C$33*($C$34-$K64)/1000+P$38*0.00035*($C$34-$K64)-P$38*0.00035*((IF($C$37&gt;$K64,0,$C$34-$C$37)))*((1/(1-((273+$C$37)/(273+$C$36)))/2)-1)/(1/(1-((273+$C$37)/(273+$C$36)))/2)-($C$38/2-$C$39)/24/365&gt;0,$C$32*$C$33*($C$34-$K64)/1000+P$38*0.00035*($C$34-$K64)-P$38*0.00035*((IF($C$37&gt;$K64,0,$C$34-$C$37)))*((1/(1-((273+$C$37)/(273+$C$36)))/2)-1)/(1/(1-((273+$C$37)/(273+$C$36)))/2)-($C$38/2-$C$39)/24/365,0)</f>
        <v>1.592435657949357</v>
      </c>
      <c r="Q64" s="23">
        <f>(IF($C$32*$C$33*($C$34-$K64)/1000+Q$38*0.00035*($C$34-$K64)-Q$38*0.00035*((IF($C$37&gt;$K64,0,$C$34-$C$37)))*((1/(1-((273+$C$37)/(273+$C$36)))/2)-1)/(1/(1-((273+$C$37)/(273+$C$36)))/2)-($C$38/2-$C$39)/24/365&gt;0,$C$32*$C$33*($C$34-$K64)/1000+Q$38*0.00035*($C$34-$K64)-Q$38*0.00035*((IF($C$37&gt;$K64,0,$C$34-$C$37)))*((1/(1-((273+$C$37)/(273+$C$36)))/2)-1)/(1/(1-((273+$C$37)/(273+$C$36)))/2)-($C$38/2-$C$39)/24/365,0))/(1/(1-((273+$B64)/(273+$C$36+15)))/2)</f>
        <v>0.52719731348002286</v>
      </c>
      <c r="R64" s="23"/>
    </row>
    <row r="65" spans="2:18" x14ac:dyDescent="0.35">
      <c r="B65" s="6">
        <v>3</v>
      </c>
      <c r="C65" s="45">
        <f>$C$32*$C$33*($C$34-B65)/1000</f>
        <v>2.04</v>
      </c>
      <c r="D65" s="45">
        <f>$C$35*0.00035*($C$34-B65)</f>
        <v>0.89249999999999996</v>
      </c>
      <c r="E65" s="8">
        <f t="shared" si="2"/>
        <v>2.9325000000000001</v>
      </c>
      <c r="F65" s="45">
        <f>1/(1-((273+$B65)/(273+$C$36)))/2</f>
        <v>4.8124999999999982</v>
      </c>
      <c r="G65" s="8">
        <f>$C$35*0.00035*((IF(C$37&gt;B65,0,$C$34-C$37)))*(F65-1)/F65</f>
        <v>1.4140909090909088</v>
      </c>
      <c r="H65" s="46">
        <f>($C$38/2-$C$39)/24/365</f>
        <v>0.11415525114155251</v>
      </c>
      <c r="I65" s="46">
        <f>1/(1-((273+$B65)/(273+$C$36+20)))/2</f>
        <v>3.1538461538461533</v>
      </c>
      <c r="J65" s="26">
        <f>IF(E65-G65-H65&gt;0,E65-G65-H65,0)</f>
        <v>1.4042538397675388</v>
      </c>
      <c r="K65" s="27">
        <f>B65</f>
        <v>3</v>
      </c>
      <c r="L65" s="23">
        <f>IF($C$32*$C$33*($C$34-$K65)/1000+L$38*0.00035*($C$34-$K65)-($C$38/2-$C$39)/24/365&gt;0,$C$32*$C$33*($C$34-$K65)/1000+L$38*0.00035*($C$34-$K65)-($C$38/2-$C$39)/24/365,0)</f>
        <v>2.8183447488584474</v>
      </c>
      <c r="M65" s="23">
        <f>IF($C$32*$C$33*($C$34-$K65)/1000+M$38*0.00035*($C$34-$K65)-M$38*0.00035*((IF($C$37&gt;$K65,0,$C$34-$C$37)))*((1/(1-((273+$C$37)/(273+$C$36)))/2)-1)/(1/(1-((273+$C$37)/(273+$C$36)))/2)-($C$38/2-$C$39)/24/365&gt;0,$C$32*$C$33*($C$34-$K65)/1000+M$38*0.00035*($C$34-$K65)-M$38*0.00035*((IF($C$37&gt;$K65,0,$C$34-$C$37)))*((1/(1-((273+$C$37)/(273+$C$36)))/2)-1)/(1/(1-((273+$C$37)/(273+$C$36)))/2)-($C$38/2-$C$39)/24/365,0)</f>
        <v>1.9258447488584476</v>
      </c>
      <c r="N65" s="23">
        <f>IF($C$32*$C$33*($C$34-$K65)/1000+N$38*0.00035*($C$34-$K65)-N$38*0.00035*((IF($C$37&gt;$K65,0,$C$34-$C$37)))*((1/(1-((273+$C$37)/(273+$C$36)))/2)-1)/(1/(1-((273+$C$37)/(273+$C$36)))/2)-($C$38/2-$C$39)/24/365&gt;0,$C$32*$C$33*($C$34-$K65)/1000+N$38*0.00035*($C$34-$K65)-N$38*0.00035*((IF($C$37&gt;$K65,0,$C$34-$C$37)))*((1/(1-((273+$C$37)/(273+$C$36)))/2)-1)/(1/(1-((273+$C$37)/(273+$C$36)))/2)-($C$38/2-$C$39)/24/365,0)</f>
        <v>1.8176629306766292</v>
      </c>
      <c r="O65" s="23">
        <f>IF($C$32*$C$33*($C$34-$K65)/1000+O$38*0.00035*($C$34-$K65)-O$38*0.00035*((IF($C$37&gt;$K65,0,$C$34-$C$37)))*((1/(1-((273+$C$37)/(273+$C$36)))/2)-1)/(1/(1-((273+$C$37)/(273+$C$36)))/2)-($C$38/2-$C$39)/24/365&gt;0,$C$32*$C$33*($C$34-$K65)/1000+O$38*0.00035*($C$34-$K65)-O$38*0.00035*((IF($C$37&gt;$K65,0,$C$34-$C$37)))*((1/(1-((273+$C$37)/(273+$C$36)))/2)-1)/(1/(1-((273+$C$37)/(273+$C$36)))/2)-($C$38/2-$C$39)/24/365,0)</f>
        <v>1.6012992943129931</v>
      </c>
      <c r="P65" s="23">
        <f>IF($C$32*$C$33*($C$34-$K65)/1000+P$38*0.00035*($C$34-$K65)-P$38*0.00035*((IF($C$37&gt;$K65,0,$C$34-$C$37)))*((1/(1-((273+$C$37)/(273+$C$36)))/2)-1)/(1/(1-((273+$C$37)/(273+$C$36)))/2)-($C$38/2-$C$39)/24/365&gt;0,$C$32*$C$33*($C$34-$K65)/1000+P$38*0.00035*($C$34-$K65)-P$38*0.00035*((IF($C$37&gt;$K65,0,$C$34-$C$37)))*((1/(1-((273+$C$37)/(273+$C$36)))/2)-1)/(1/(1-((273+$C$37)/(273+$C$36)))/2)-($C$38/2-$C$39)/24/365,0)</f>
        <v>1.3849356579493566</v>
      </c>
      <c r="Q65" s="23">
        <f>(IF($C$32*$C$33*($C$34-$K65)/1000+Q$38*0.00035*($C$34-$K65)-Q$38*0.00035*((IF($C$37&gt;$K65,0,$C$34-$C$37)))*((1/(1-((273+$C$37)/(273+$C$36)))/2)-1)/(1/(1-((273+$C$37)/(273+$C$36)))/2)-($C$38/2-$C$39)/24/365&gt;0,$C$32*$C$33*($C$34-$K65)/1000+Q$38*0.00035*($C$34-$K65)-Q$38*0.00035*((IF($C$37&gt;$K65,0,$C$34-$C$37)))*((1/(1-((273+$C$37)/(273+$C$36)))/2)-1)/(1/(1-((273+$C$37)/(273+$C$36)))/2)-($C$38/2-$C$39)/24/365,0))/(1/(1-((273+$B65)/(273+$C$36+15)))/2)</f>
        <v>0.46601279772576276</v>
      </c>
      <c r="R65" s="23"/>
    </row>
    <row r="66" spans="2:18" x14ac:dyDescent="0.35">
      <c r="B66" s="6">
        <v>4</v>
      </c>
      <c r="C66" s="45">
        <f>$C$32*$C$33*($C$34-B66)/1000</f>
        <v>1.92</v>
      </c>
      <c r="D66" s="45">
        <f>$C$35*0.00035*($C$34-B66)</f>
        <v>0.84</v>
      </c>
      <c r="E66" s="8">
        <f t="shared" si="2"/>
        <v>2.76</v>
      </c>
      <c r="F66" s="45">
        <f>1/(1-((273+$B66)/(273+$C$36)))/2</f>
        <v>4.967741935483871</v>
      </c>
      <c r="G66" s="8">
        <f>$C$35*0.00035*((IF(C$37&gt;B66,0,$C$34-C$37)))*(F66-1)/F66</f>
        <v>1.4256818181818181</v>
      </c>
      <c r="H66" s="46">
        <f>($C$38/2-$C$39)/24/365</f>
        <v>0.11415525114155251</v>
      </c>
      <c r="I66" s="46">
        <f>1/(1-((273+$B66)/(273+$C$36+20)))/2</f>
        <v>3.2156862745098032</v>
      </c>
      <c r="J66" s="26">
        <f>IF(E66-G66-H66&gt;0,E66-G66-H66,0)</f>
        <v>1.2201629306766293</v>
      </c>
      <c r="K66" s="27">
        <f>B66</f>
        <v>4</v>
      </c>
      <c r="L66" s="23">
        <f>IF($C$32*$C$33*($C$34-$K66)/1000+L$38*0.00035*($C$34-$K66)-($C$38/2-$C$39)/24/365&gt;0,$C$32*$C$33*($C$34-$K66)/1000+L$38*0.00035*($C$34-$K66)-($C$38/2-$C$39)/24/365,0)</f>
        <v>2.6458447488584471</v>
      </c>
      <c r="M66" s="23">
        <f>IF($C$32*$C$33*($C$34-$K66)/1000+M$38*0.00035*($C$34-$K66)-M$38*0.00035*((IF($C$37&gt;$K66,0,$C$34-$C$37)))*((1/(1-((273+$C$37)/(273+$C$36)))/2)-1)/(1/(1-((273+$C$37)/(273+$C$36)))/2)-($C$38/2-$C$39)/24/365&gt;0,$C$32*$C$33*($C$34-$K66)/1000+M$38*0.00035*($C$34-$K66)-M$38*0.00035*((IF($C$37&gt;$K66,0,$C$34-$C$37)))*((1/(1-((273+$C$37)/(273+$C$36)))/2)-1)/(1/(1-((273+$C$37)/(273+$C$36)))/2)-($C$38/2-$C$39)/24/365,0)</f>
        <v>1.8058447488584475</v>
      </c>
      <c r="N66" s="23">
        <f>IF($C$32*$C$33*($C$34-$K66)/1000+N$38*0.00035*($C$34-$K66)-N$38*0.00035*((IF($C$37&gt;$K66,0,$C$34-$C$37)))*((1/(1-((273+$C$37)/(273+$C$36)))/2)-1)/(1/(1-((273+$C$37)/(273+$C$36)))/2)-($C$38/2-$C$39)/24/365&gt;0,$C$32*$C$33*($C$34-$K66)/1000+N$38*0.00035*($C$34-$K66)-N$38*0.00035*((IF($C$37&gt;$K66,0,$C$34-$C$37)))*((1/(1-((273+$C$37)/(273+$C$36)))/2)-1)/(1/(1-((273+$C$37)/(273+$C$36)))/2)-($C$38/2-$C$39)/24/365,0)</f>
        <v>1.680162930676629</v>
      </c>
      <c r="O66" s="23">
        <f>IF($C$32*$C$33*($C$34-$K66)/1000+O$38*0.00035*($C$34-$K66)-O$38*0.00035*((IF($C$37&gt;$K66,0,$C$34-$C$37)))*((1/(1-((273+$C$37)/(273+$C$36)))/2)-1)/(1/(1-((273+$C$37)/(273+$C$36)))/2)-($C$38/2-$C$39)/24/365&gt;0,$C$32*$C$33*($C$34-$K66)/1000+O$38*0.00035*($C$34-$K66)-O$38*0.00035*((IF($C$37&gt;$K66,0,$C$34-$C$37)))*((1/(1-((273+$C$37)/(273+$C$36)))/2)-1)/(1/(1-((273+$C$37)/(273+$C$36)))/2)-($C$38/2-$C$39)/24/365,0)</f>
        <v>1.4287992943129928</v>
      </c>
      <c r="P66" s="23">
        <f>IF($C$32*$C$33*($C$34-$K66)/1000+P$38*0.00035*($C$34-$K66)-P$38*0.00035*((IF($C$37&gt;$K66,0,$C$34-$C$37)))*((1/(1-((273+$C$37)/(273+$C$36)))/2)-1)/(1/(1-((273+$C$37)/(273+$C$36)))/2)-($C$38/2-$C$39)/24/365&gt;0,$C$32*$C$33*($C$34-$K66)/1000+P$38*0.00035*($C$34-$K66)-P$38*0.00035*((IF($C$37&gt;$K66,0,$C$34-$C$37)))*((1/(1-((273+$C$37)/(273+$C$36)))/2)-1)/(1/(1-((273+$C$37)/(273+$C$36)))/2)-($C$38/2-$C$39)/24/365,0)</f>
        <v>1.1774356579493566</v>
      </c>
      <c r="Q66" s="23">
        <f>(IF($C$32*$C$33*($C$34-$K66)/1000+Q$38*0.00035*($C$34-$K66)-Q$38*0.00035*((IF($C$37&gt;$K66,0,$C$34-$C$37)))*((1/(1-((273+$C$37)/(273+$C$36)))/2)-1)/(1/(1-((273+$C$37)/(273+$C$36)))/2)-($C$38/2-$C$39)/24/365&gt;0,$C$32*$C$33*($C$34-$K66)/1000+Q$38*0.00035*($C$34-$K66)-Q$38*0.00035*((IF($C$37&gt;$K66,0,$C$34-$C$37)))*((1/(1-((273+$C$37)/(273+$C$36)))/2)-1)/(1/(1-((273+$C$37)/(273+$C$36)))/2)-($C$38/2-$C$39)/24/365,0))/(1/(1-((273+$B66)/(273+$C$36+15)))/2)</f>
        <v>0.4069645048817192</v>
      </c>
      <c r="R66" s="23"/>
    </row>
    <row r="67" spans="2:18" x14ac:dyDescent="0.35">
      <c r="B67" s="6">
        <v>5</v>
      </c>
      <c r="C67" s="45">
        <f>$C$32*$C$33*($C$34-B67)/1000</f>
        <v>1.8</v>
      </c>
      <c r="D67" s="45">
        <f>$C$35*0.00035*($C$34-B67)</f>
        <v>0.78749999999999998</v>
      </c>
      <c r="E67" s="8">
        <f t="shared" si="2"/>
        <v>2.5874999999999999</v>
      </c>
      <c r="F67" s="45">
        <f>1/(1-((273+$B67)/(273+$C$36)))/2</f>
        <v>5.1333333333333346</v>
      </c>
      <c r="G67" s="8">
        <f>$C$35*0.00035*((IF(C$37&gt;B67,0,$C$34-C$37)))*(F67-1)/F67</f>
        <v>1.4372727272727273</v>
      </c>
      <c r="H67" s="46">
        <f>($C$38/2-$C$39)/24/365</f>
        <v>0.11415525114155251</v>
      </c>
      <c r="I67" s="46">
        <f>1/(1-((273+$B67)/(273+$C$36+20)))/2</f>
        <v>3.2799999999999994</v>
      </c>
      <c r="J67" s="26">
        <f>IF(E67-G67-H67&gt;0,E67-G67-H67,0)</f>
        <v>1.0360720215857202</v>
      </c>
      <c r="K67" s="27">
        <f>B67</f>
        <v>5</v>
      </c>
      <c r="L67" s="23">
        <f>IF($C$32*$C$33*($C$34-$K67)/1000+L$38*0.00035*($C$34-$K67)-($C$38/2-$C$39)/24/365&gt;0,$C$32*$C$33*($C$34-$K67)/1000+L$38*0.00035*($C$34-$K67)-($C$38/2-$C$39)/24/365,0)</f>
        <v>2.4733447488584472</v>
      </c>
      <c r="M67" s="23">
        <f>IF($C$32*$C$33*($C$34-$K67)/1000+M$38*0.00035*($C$34-$K67)-M$38*0.00035*((IF($C$37&gt;$K67,0,$C$34-$C$37)))*((1/(1-((273+$C$37)/(273+$C$36)))/2)-1)/(1/(1-((273+$C$37)/(273+$C$36)))/2)-($C$38/2-$C$39)/24/365&gt;0,$C$32*$C$33*($C$34-$K67)/1000+M$38*0.00035*($C$34-$K67)-M$38*0.00035*((IF($C$37&gt;$K67,0,$C$34-$C$37)))*((1/(1-((273+$C$37)/(273+$C$36)))/2)-1)/(1/(1-((273+$C$37)/(273+$C$36)))/2)-($C$38/2-$C$39)/24/365,0)</f>
        <v>1.6858447488584476</v>
      </c>
      <c r="N67" s="23">
        <f>IF($C$32*$C$33*($C$34-$K67)/1000+N$38*0.00035*($C$34-$K67)-N$38*0.00035*((IF($C$37&gt;$K67,0,$C$34-$C$37)))*((1/(1-((273+$C$37)/(273+$C$36)))/2)-1)/(1/(1-((273+$C$37)/(273+$C$36)))/2)-($C$38/2-$C$39)/24/365&gt;0,$C$32*$C$33*($C$34-$K67)/1000+N$38*0.00035*($C$34-$K67)-N$38*0.00035*((IF($C$37&gt;$K67,0,$C$34-$C$37)))*((1/(1-((273+$C$37)/(273+$C$36)))/2)-1)/(1/(1-((273+$C$37)/(273+$C$36)))/2)-($C$38/2-$C$39)/24/365,0)</f>
        <v>1.5426629306766293</v>
      </c>
      <c r="O67" s="23">
        <f>IF($C$32*$C$33*($C$34-$K67)/1000+O$38*0.00035*($C$34-$K67)-O$38*0.00035*((IF($C$37&gt;$K67,0,$C$34-$C$37)))*((1/(1-((273+$C$37)/(273+$C$36)))/2)-1)/(1/(1-((273+$C$37)/(273+$C$36)))/2)-($C$38/2-$C$39)/24/365&gt;0,$C$32*$C$33*($C$34-$K67)/1000+O$38*0.00035*($C$34-$K67)-O$38*0.00035*((IF($C$37&gt;$K67,0,$C$34-$C$37)))*((1/(1-((273+$C$37)/(273+$C$36)))/2)-1)/(1/(1-((273+$C$37)/(273+$C$36)))/2)-($C$38/2-$C$39)/24/365,0)</f>
        <v>1.2562992943129929</v>
      </c>
      <c r="P67" s="23">
        <f>IF($C$32*$C$33*($C$34-$K67)/1000+P$38*0.00035*($C$34-$K67)-P$38*0.00035*((IF($C$37&gt;$K67,0,$C$34-$C$37)))*((1/(1-((273+$C$37)/(273+$C$36)))/2)-1)/(1/(1-((273+$C$37)/(273+$C$36)))/2)-($C$38/2-$C$39)/24/365&gt;0,$C$32*$C$33*($C$34-$K67)/1000+P$38*0.00035*($C$34-$K67)-P$38*0.00035*((IF($C$37&gt;$K67,0,$C$34-$C$37)))*((1/(1-((273+$C$37)/(273+$C$36)))/2)-1)/(1/(1-((273+$C$37)/(273+$C$36)))/2)-($C$38/2-$C$39)/24/365,0)</f>
        <v>0.96993565794935654</v>
      </c>
      <c r="Q67" s="23">
        <f>(IF($C$32*$C$33*($C$34-$K67)/1000+Q$38*0.00035*($C$34-$K67)-Q$38*0.00035*((IF($C$37&gt;$K67,0,$C$34-$C$37)))*((1/(1-((273+$C$37)/(273+$C$36)))/2)-1)/(1/(1-((273+$C$37)/(273+$C$36)))/2)-($C$38/2-$C$39)/24/365&gt;0,$C$32*$C$33*($C$34-$K67)/1000+Q$38*0.00035*($C$34-$K67)-Q$38*0.00035*((IF($C$37&gt;$K67,0,$C$34-$C$37)))*((1/(1-((273+$C$37)/(273+$C$36)))/2)-1)/(1/(1-((273+$C$37)/(273+$C$36)))/2)-($C$38/2-$C$39)/24/365,0))/(1/(1-((273+$B67)/(273+$C$36+15)))/2)</f>
        <v>0.3500524349478929</v>
      </c>
      <c r="R67" s="23"/>
    </row>
    <row r="68" spans="2:18" x14ac:dyDescent="0.35">
      <c r="B68" s="6">
        <v>6</v>
      </c>
      <c r="C68" s="45">
        <f>$C$32*$C$33*($C$34-B68)/1000</f>
        <v>1.68</v>
      </c>
      <c r="D68" s="45">
        <f>$C$35*0.00035*($C$34-B68)</f>
        <v>0.73499999999999999</v>
      </c>
      <c r="E68" s="8">
        <f t="shared" si="2"/>
        <v>2.415</v>
      </c>
      <c r="F68" s="45">
        <f>1/(1-((273+$B68)/(273+$C$36)))/2</f>
        <v>5.31034482758621</v>
      </c>
      <c r="G68" s="8">
        <f>$C$35*0.00035*((IF(C$37&gt;B68,0,$C$34-C$37)))*(F68-1)/F68</f>
        <v>1.4488636363636365</v>
      </c>
      <c r="H68" s="46">
        <f>($C$38/2-$C$39)/24/365</f>
        <v>0.11415525114155251</v>
      </c>
      <c r="I68" s="46">
        <f>1/(1-((273+$B68)/(273+$C$36+20)))/2</f>
        <v>3.3469387755102038</v>
      </c>
      <c r="J68" s="26">
        <f>IF(E68-G68-H68&gt;0,E68-G68-H68,0)</f>
        <v>0.85198111249481112</v>
      </c>
      <c r="K68" s="27">
        <f>B68</f>
        <v>6</v>
      </c>
      <c r="L68" s="23">
        <f>IF($C$32*$C$33*($C$34-$K68)/1000+L$38*0.00035*($C$34-$K68)-($C$38/2-$C$39)/24/365&gt;0,$C$32*$C$33*($C$34-$K68)/1000+L$38*0.00035*($C$34-$K68)-($C$38/2-$C$39)/24/365,0)</f>
        <v>2.3008447488584474</v>
      </c>
      <c r="M68" s="23">
        <f>IF($C$32*$C$33*($C$34-$K68)/1000+M$38*0.00035*($C$34-$K68)-M$38*0.00035*((IF($C$37&gt;$K68,0,$C$34-$C$37)))*((1/(1-((273+$C$37)/(273+$C$36)))/2)-1)/(1/(1-((273+$C$37)/(273+$C$36)))/2)-($C$38/2-$C$39)/24/365&gt;0,$C$32*$C$33*($C$34-$K68)/1000+M$38*0.00035*($C$34-$K68)-M$38*0.00035*((IF($C$37&gt;$K68,0,$C$34-$C$37)))*((1/(1-((273+$C$37)/(273+$C$36)))/2)-1)/(1/(1-((273+$C$37)/(273+$C$36)))/2)-($C$38/2-$C$39)/24/365,0)</f>
        <v>1.5658447488584475</v>
      </c>
      <c r="N68" s="23">
        <f>IF($C$32*$C$33*($C$34-$K68)/1000+N$38*0.00035*($C$34-$K68)-N$38*0.00035*((IF($C$37&gt;$K68,0,$C$34-$C$37)))*((1/(1-((273+$C$37)/(273+$C$36)))/2)-1)/(1/(1-((273+$C$37)/(273+$C$36)))/2)-($C$38/2-$C$39)/24/365&gt;0,$C$32*$C$33*($C$34-$K68)/1000+N$38*0.00035*($C$34-$K68)-N$38*0.00035*((IF($C$37&gt;$K68,0,$C$34-$C$37)))*((1/(1-((273+$C$37)/(273+$C$36)))/2)-1)/(1/(1-((273+$C$37)/(273+$C$36)))/2)-($C$38/2-$C$39)/24/365,0)</f>
        <v>1.4051629306766291</v>
      </c>
      <c r="O68" s="23">
        <f>IF($C$32*$C$33*($C$34-$K68)/1000+O$38*0.00035*($C$34-$K68)-O$38*0.00035*((IF($C$37&gt;$K68,0,$C$34-$C$37)))*((1/(1-((273+$C$37)/(273+$C$36)))/2)-1)/(1/(1-((273+$C$37)/(273+$C$36)))/2)-($C$38/2-$C$39)/24/365&gt;0,$C$32*$C$33*($C$34-$K68)/1000+O$38*0.00035*($C$34-$K68)-O$38*0.00035*((IF($C$37&gt;$K68,0,$C$34-$C$37)))*((1/(1-((273+$C$37)/(273+$C$36)))/2)-1)/(1/(1-((273+$C$37)/(273+$C$36)))/2)-($C$38/2-$C$39)/24/365,0)</f>
        <v>1.083799294312993</v>
      </c>
      <c r="P68" s="23">
        <f>IF($C$32*$C$33*($C$34-$K68)/1000+P$38*0.00035*($C$34-$K68)-P$38*0.00035*((IF($C$37&gt;$K68,0,$C$34-$C$37)))*((1/(1-((273+$C$37)/(273+$C$36)))/2)-1)/(1/(1-((273+$C$37)/(273+$C$36)))/2)-($C$38/2-$C$39)/24/365&gt;0,$C$32*$C$33*($C$34-$K68)/1000+P$38*0.00035*($C$34-$K68)-P$38*0.00035*((IF($C$37&gt;$K68,0,$C$34-$C$37)))*((1/(1-((273+$C$37)/(273+$C$36)))/2)-1)/(1/(1-((273+$C$37)/(273+$C$36)))/2)-($C$38/2-$C$39)/24/365,0)</f>
        <v>0.76243565794935653</v>
      </c>
      <c r="Q68" s="23">
        <f>(IF($C$32*$C$33*($C$34-$K68)/1000+Q$38*0.00035*($C$34-$K68)-Q$38*0.00035*((IF($C$37&gt;$K68,0,$C$34-$C$37)))*((1/(1-((273+$C$37)/(273+$C$36)))/2)-1)/(1/(1-((273+$C$37)/(273+$C$36)))/2)-($C$38/2-$C$39)/24/365&gt;0,$C$32*$C$33*($C$34-$K68)/1000+Q$38*0.00035*($C$34-$K68)-Q$38*0.00035*((IF($C$37&gt;$K68,0,$C$34-$C$37)))*((1/(1-((273+$C$37)/(273+$C$36)))/2)-1)/(1/(1-((273+$C$37)/(273+$C$36)))/2)-($C$38/2-$C$39)/24/365,0))/(1/(1-((273+$B68)/(273+$C$36+15)))/2)</f>
        <v>0.29527658792428296</v>
      </c>
      <c r="R68" s="23"/>
    </row>
    <row r="69" spans="2:18" x14ac:dyDescent="0.35">
      <c r="B69" s="6">
        <v>7</v>
      </c>
      <c r="C69" s="45">
        <f>$C$32*$C$33*($C$34-B69)/1000</f>
        <v>1.56</v>
      </c>
      <c r="D69" s="45">
        <f>$C$35*0.00035*($C$34-B69)</f>
        <v>0.6825</v>
      </c>
      <c r="E69" s="8">
        <f t="shared" si="2"/>
        <v>2.2425000000000002</v>
      </c>
      <c r="F69" s="45">
        <f>1/(1-((273+$B69)/(273+$C$36)))/2</f>
        <v>5.4999999999999982</v>
      </c>
      <c r="G69" s="8">
        <f>$C$35*0.00035*((IF(C$37&gt;B69,0,$C$34-C$37)))*(F69-1)/F69</f>
        <v>1.4604545454545454</v>
      </c>
      <c r="H69" s="46">
        <f>($C$38/2-$C$39)/24/365</f>
        <v>0.11415525114155251</v>
      </c>
      <c r="I69" s="46">
        <f>1/(1-((273+$B69)/(273+$C$36+20)))/2</f>
        <v>3.4166666666666661</v>
      </c>
      <c r="J69" s="26">
        <f>IF(E69-G69-H69&gt;0,E69-G69-H69,0)</f>
        <v>0.66789020340390226</v>
      </c>
      <c r="K69" s="27">
        <f>B69</f>
        <v>7</v>
      </c>
      <c r="L69" s="23">
        <f>IF($C$32*$C$33*($C$34-$K69)/1000+L$38*0.00035*($C$34-$K69)-($C$38/2-$C$39)/24/365&gt;0,$C$32*$C$33*($C$34-$K69)/1000+L$38*0.00035*($C$34-$K69)-($C$38/2-$C$39)/24/365,0)</f>
        <v>2.1283447488584475</v>
      </c>
      <c r="M69" s="23">
        <f>IF($C$32*$C$33*($C$34-$K69)/1000+M$38*0.00035*($C$34-$K69)-M$38*0.00035*((IF($C$37&gt;$K69,0,$C$34-$C$37)))*((1/(1-((273+$C$37)/(273+$C$36)))/2)-1)/(1/(1-((273+$C$37)/(273+$C$36)))/2)-($C$38/2-$C$39)/24/365&gt;0,$C$32*$C$33*($C$34-$K69)/1000+M$38*0.00035*($C$34-$K69)-M$38*0.00035*((IF($C$37&gt;$K69,0,$C$34-$C$37)))*((1/(1-((273+$C$37)/(273+$C$36)))/2)-1)/(1/(1-((273+$C$37)/(273+$C$36)))/2)-($C$38/2-$C$39)/24/365,0)</f>
        <v>1.4458447488584476</v>
      </c>
      <c r="N69" s="23">
        <f>IF($C$32*$C$33*($C$34-$K69)/1000+N$38*0.00035*($C$34-$K69)-N$38*0.00035*((IF($C$37&gt;$K69,0,$C$34-$C$37)))*((1/(1-((273+$C$37)/(273+$C$36)))/2)-1)/(1/(1-((273+$C$37)/(273+$C$36)))/2)-($C$38/2-$C$39)/24/365&gt;0,$C$32*$C$33*($C$34-$K69)/1000+N$38*0.00035*($C$34-$K69)-N$38*0.00035*((IF($C$37&gt;$K69,0,$C$34-$C$37)))*((1/(1-((273+$C$37)/(273+$C$36)))/2)-1)/(1/(1-((273+$C$37)/(273+$C$36)))/2)-($C$38/2-$C$39)/24/365,0)</f>
        <v>1.2676629306766294</v>
      </c>
      <c r="O69" s="23">
        <f>IF($C$32*$C$33*($C$34-$K69)/1000+O$38*0.00035*($C$34-$K69)-O$38*0.00035*((IF($C$37&gt;$K69,0,$C$34-$C$37)))*((1/(1-((273+$C$37)/(273+$C$36)))/2)-1)/(1/(1-((273+$C$37)/(273+$C$36)))/2)-($C$38/2-$C$39)/24/365&gt;0,$C$32*$C$33*($C$34-$K69)/1000+O$38*0.00035*($C$34-$K69)-O$38*0.00035*((IF($C$37&gt;$K69,0,$C$34-$C$37)))*((1/(1-((273+$C$37)/(273+$C$36)))/2)-1)/(1/(1-((273+$C$37)/(273+$C$36)))/2)-($C$38/2-$C$39)/24/365,0)</f>
        <v>0.91129929431299317</v>
      </c>
      <c r="P69" s="23">
        <f>IF($C$32*$C$33*($C$34-$K69)/1000+P$38*0.00035*($C$34-$K69)-P$38*0.00035*((IF($C$37&gt;$K69,0,$C$34-$C$37)))*((1/(1-((273+$C$37)/(273+$C$36)))/2)-1)/(1/(1-((273+$C$37)/(273+$C$36)))/2)-($C$38/2-$C$39)/24/365&gt;0,$C$32*$C$33*($C$34-$K69)/1000+P$38*0.00035*($C$34-$K69)-P$38*0.00035*((IF($C$37&gt;$K69,0,$C$34-$C$37)))*((1/(1-((273+$C$37)/(273+$C$36)))/2)-1)/(1/(1-((273+$C$37)/(273+$C$36)))/2)-($C$38/2-$C$39)/24/365,0)</f>
        <v>0.55493565794935651</v>
      </c>
      <c r="Q69" s="23">
        <f>(IF($C$32*$C$33*($C$34-$K69)/1000+Q$38*0.00035*($C$34-$K69)-Q$38*0.00035*((IF($C$37&gt;$K69,0,$C$34-$C$37)))*((1/(1-((273+$C$37)/(273+$C$36)))/2)-1)/(1/(1-((273+$C$37)/(273+$C$36)))/2)-($C$38/2-$C$39)/24/365&gt;0,$C$32*$C$33*($C$34-$K69)/1000+Q$38*0.00035*($C$34-$K69)-Q$38*0.00035*((IF($C$37&gt;$K69,0,$C$34-$C$37)))*((1/(1-((273+$C$37)/(273+$C$36)))/2)-1)/(1/(1-((273+$C$37)/(273+$C$36)))/2)-($C$38/2-$C$39)/24/365,0))/(1/(1-((273+$B69)/(273+$C$36+15)))/2)</f>
        <v>0.24263696381088978</v>
      </c>
      <c r="R69" s="23"/>
    </row>
    <row r="70" spans="2:18" x14ac:dyDescent="0.35">
      <c r="B70" s="6">
        <v>8</v>
      </c>
      <c r="C70" s="45">
        <f>$C$32*$C$33*($C$34-B70)/1000</f>
        <v>1.44</v>
      </c>
      <c r="D70" s="45">
        <f>$C$35*0.00035*($C$34-B70)</f>
        <v>0.63</v>
      </c>
      <c r="E70" s="8">
        <f t="shared" si="2"/>
        <v>2.0699999999999998</v>
      </c>
      <c r="F70" s="45">
        <f>1/(1-((273+$B70)/(273+$C$36)))/2</f>
        <v>5.7037037037037033</v>
      </c>
      <c r="G70" s="8">
        <f>$C$35*0.00035*((IF(C$37&gt;B70,0,$C$34-C$37)))*(F70-1)/F70</f>
        <v>1.4720454545454547</v>
      </c>
      <c r="H70" s="46">
        <f>($C$38/2-$C$39)/24/365</f>
        <v>0.11415525114155251</v>
      </c>
      <c r="I70" s="46">
        <f>1/(1-((273+$B70)/(273+$C$36+20)))/2</f>
        <v>3.4893617021276593</v>
      </c>
      <c r="J70" s="26">
        <f>IF(E70-G70-H70&gt;0,E70-G70-H70,0)</f>
        <v>0.48379929431299268</v>
      </c>
      <c r="K70" s="27">
        <f>B70</f>
        <v>8</v>
      </c>
      <c r="L70" s="23">
        <f>IF($C$32*$C$33*($C$34-$K70)/1000+L$38*0.00035*($C$34-$K70)-($C$38/2-$C$39)/24/365&gt;0,$C$32*$C$33*($C$34-$K70)/1000+L$38*0.00035*($C$34-$K70)-($C$38/2-$C$39)/24/365,0)</f>
        <v>1.9558447488584474</v>
      </c>
      <c r="M70" s="23">
        <f>IF($C$32*$C$33*($C$34-$K70)/1000+M$38*0.00035*($C$34-$K70)-M$38*0.00035*((IF($C$37&gt;$K70,0,$C$34-$C$37)))*((1/(1-((273+$C$37)/(273+$C$36)))/2)-1)/(1/(1-((273+$C$37)/(273+$C$36)))/2)-($C$38/2-$C$39)/24/365&gt;0,$C$32*$C$33*($C$34-$K70)/1000+M$38*0.00035*($C$34-$K70)-M$38*0.00035*((IF($C$37&gt;$K70,0,$C$34-$C$37)))*((1/(1-((273+$C$37)/(273+$C$36)))/2)-1)/(1/(1-((273+$C$37)/(273+$C$36)))/2)-($C$38/2-$C$39)/24/365,0)</f>
        <v>1.3258447488584475</v>
      </c>
      <c r="N70" s="23">
        <f>IF($C$32*$C$33*($C$34-$K70)/1000+N$38*0.00035*($C$34-$K70)-N$38*0.00035*((IF($C$37&gt;$K70,0,$C$34-$C$37)))*((1/(1-((273+$C$37)/(273+$C$36)))/2)-1)/(1/(1-((273+$C$37)/(273+$C$36)))/2)-($C$38/2-$C$39)/24/365&gt;0,$C$32*$C$33*($C$34-$K70)/1000+N$38*0.00035*($C$34-$K70)-N$38*0.00035*((IF($C$37&gt;$K70,0,$C$34-$C$37)))*((1/(1-((273+$C$37)/(273+$C$36)))/2)-1)/(1/(1-((273+$C$37)/(273+$C$36)))/2)-($C$38/2-$C$39)/24/365,0)</f>
        <v>1.1301629306766292</v>
      </c>
      <c r="O70" s="23">
        <f>IF($C$32*$C$33*($C$34-$K70)/1000+O$38*0.00035*($C$34-$K70)-O$38*0.00035*((IF($C$37&gt;$K70,0,$C$34-$C$37)))*((1/(1-((273+$C$37)/(273+$C$36)))/2)-1)/(1/(1-((273+$C$37)/(273+$C$36)))/2)-($C$38/2-$C$39)/24/365&gt;0,$C$32*$C$33*($C$34-$K70)/1000+O$38*0.00035*($C$34-$K70)-O$38*0.00035*((IF($C$37&gt;$K70,0,$C$34-$C$37)))*((1/(1-((273+$C$37)/(273+$C$36)))/2)-1)/(1/(1-((273+$C$37)/(273+$C$36)))/2)-($C$38/2-$C$39)/24/365,0)</f>
        <v>0.73879929431299285</v>
      </c>
      <c r="P70" s="23">
        <f>IF($C$32*$C$33*($C$34-$K70)/1000+P$38*0.00035*($C$34-$K70)-P$38*0.00035*((IF($C$37&gt;$K70,0,$C$34-$C$37)))*((1/(1-((273+$C$37)/(273+$C$36)))/2)-1)/(1/(1-((273+$C$37)/(273+$C$36)))/2)-($C$38/2-$C$39)/24/365&gt;0,$C$32*$C$33*($C$34-$K70)/1000+P$38*0.00035*($C$34-$K70)-P$38*0.00035*((IF($C$37&gt;$K70,0,$C$34-$C$37)))*((1/(1-((273+$C$37)/(273+$C$36)))/2)-1)/(1/(1-((273+$C$37)/(273+$C$36)))/2)-($C$38/2-$C$39)/24/365,0)</f>
        <v>0.34743565794935644</v>
      </c>
      <c r="Q70" s="23">
        <f>(IF($C$32*$C$33*($C$34-$K70)/1000+Q$38*0.00035*($C$34-$K70)-Q$38*0.00035*((IF($C$37&gt;$K70,0,$C$34-$C$37)))*((1/(1-((273+$C$37)/(273+$C$36)))/2)-1)/(1/(1-((273+$C$37)/(273+$C$36)))/2)-($C$38/2-$C$39)/24/365&gt;0,$C$32*$C$33*($C$34-$K70)/1000+Q$38*0.00035*($C$34-$K70)-Q$38*0.00035*((IF($C$37&gt;$K70,0,$C$34-$C$37)))*((1/(1-((273+$C$37)/(273+$C$36)))/2)-1)/(1/(1-((273+$C$37)/(273+$C$36)))/2)-($C$38/2-$C$39)/24/365,0))/(1/(1-((273+$B70)/(273+$C$36+15)))/2)</f>
        <v>0.19213356260771325</v>
      </c>
      <c r="R70" s="23"/>
    </row>
    <row r="71" spans="2:18" x14ac:dyDescent="0.35">
      <c r="B71" s="6">
        <v>9</v>
      </c>
      <c r="C71" s="45">
        <f>$C$32*$C$33*($C$34-B71)/1000</f>
        <v>1.32</v>
      </c>
      <c r="D71" s="45">
        <f>$C$35*0.00035*($C$34-B71)</f>
        <v>0.57750000000000001</v>
      </c>
      <c r="E71" s="8">
        <f t="shared" si="2"/>
        <v>1.8975</v>
      </c>
      <c r="F71" s="45">
        <f>1/(1-((273+$B71)/(273+$C$36)))/2</f>
        <v>5.9230769230769251</v>
      </c>
      <c r="G71" s="8">
        <f>$C$35*0.00035*((IF(C$37&gt;B71,0,$C$34-C$37)))*(F71-1)/F71</f>
        <v>1.4836363636363636</v>
      </c>
      <c r="H71" s="46">
        <f>($C$38/2-$C$39)/24/365</f>
        <v>0.11415525114155251</v>
      </c>
      <c r="I71" s="46">
        <f>1/(1-((273+$B71)/(273+$C$36+20)))/2</f>
        <v>3.5652173913043477</v>
      </c>
      <c r="J71" s="26">
        <f>IF(E71-G71-H71&gt;0,E71-G71-H71,0)</f>
        <v>0.29970838522208382</v>
      </c>
      <c r="K71" s="27">
        <f>B71</f>
        <v>9</v>
      </c>
      <c r="L71" s="23">
        <f>IF($C$32*$C$33*($C$34-$K71)/1000+L$38*0.00035*($C$34-$K71)-($C$38/2-$C$39)/24/365&gt;0,$C$32*$C$33*($C$34-$K71)/1000+L$38*0.00035*($C$34-$K71)-($C$38/2-$C$39)/24/365,0)</f>
        <v>1.7833447488584475</v>
      </c>
      <c r="M71" s="23">
        <f>IF($C$32*$C$33*($C$34-$K71)/1000+M$38*0.00035*($C$34-$K71)-M$38*0.00035*((IF($C$37&gt;$K71,0,$C$34-$C$37)))*((1/(1-((273+$C$37)/(273+$C$36)))/2)-1)/(1/(1-((273+$C$37)/(273+$C$36)))/2)-($C$38/2-$C$39)/24/365&gt;0,$C$32*$C$33*($C$34-$K71)/1000+M$38*0.00035*($C$34-$K71)-M$38*0.00035*((IF($C$37&gt;$K71,0,$C$34-$C$37)))*((1/(1-((273+$C$37)/(273+$C$36)))/2)-1)/(1/(1-((273+$C$37)/(273+$C$36)))/2)-($C$38/2-$C$39)/24/365,0)</f>
        <v>1.2058447488584476</v>
      </c>
      <c r="N71" s="23">
        <f>IF($C$32*$C$33*($C$34-$K71)/1000+N$38*0.00035*($C$34-$K71)-N$38*0.00035*((IF($C$37&gt;$K71,0,$C$34-$C$37)))*((1/(1-((273+$C$37)/(273+$C$36)))/2)-1)/(1/(1-((273+$C$37)/(273+$C$36)))/2)-($C$38/2-$C$39)/24/365&gt;0,$C$32*$C$33*($C$34-$K71)/1000+N$38*0.00035*($C$34-$K71)-N$38*0.00035*((IF($C$37&gt;$K71,0,$C$34-$C$37)))*((1/(1-((273+$C$37)/(273+$C$36)))/2)-1)/(1/(1-((273+$C$37)/(273+$C$36)))/2)-($C$38/2-$C$39)/24/365,0)</f>
        <v>0.99266293067662925</v>
      </c>
      <c r="O71" s="23">
        <f>IF($C$32*$C$33*($C$34-$K71)/1000+O$38*0.00035*($C$34-$K71)-O$38*0.00035*((IF($C$37&gt;$K71,0,$C$34-$C$37)))*((1/(1-((273+$C$37)/(273+$C$36)))/2)-1)/(1/(1-((273+$C$37)/(273+$C$36)))/2)-($C$38/2-$C$39)/24/365&gt;0,$C$32*$C$33*($C$34-$K71)/1000+O$38*0.00035*($C$34-$K71)-O$38*0.00035*((IF($C$37&gt;$K71,0,$C$34-$C$37)))*((1/(1-((273+$C$37)/(273+$C$36)))/2)-1)/(1/(1-((273+$C$37)/(273+$C$36)))/2)-($C$38/2-$C$39)/24/365,0)</f>
        <v>0.56629929431299297</v>
      </c>
      <c r="P71" s="23">
        <f>IF($C$32*$C$33*($C$34-$K71)/1000+P$38*0.00035*($C$34-$K71)-P$38*0.00035*((IF($C$37&gt;$K71,0,$C$34-$C$37)))*((1/(1-((273+$C$37)/(273+$C$36)))/2)-1)/(1/(1-((273+$C$37)/(273+$C$36)))/2)-($C$38/2-$C$39)/24/365&gt;0,$C$32*$C$33*($C$34-$K71)/1000+P$38*0.00035*($C$34-$K71)-P$38*0.00035*((IF($C$37&gt;$K71,0,$C$34-$C$37)))*((1/(1-((273+$C$37)/(273+$C$36)))/2)-1)/(1/(1-((273+$C$37)/(273+$C$36)))/2)-($C$38/2-$C$39)/24/365,0)</f>
        <v>0.13993565794935642</v>
      </c>
      <c r="Q71" s="23">
        <f>(IF($C$32*$C$33*($C$34-$K71)/1000+Q$38*0.00035*($C$34-$K71)-Q$38*0.00035*((IF($C$37&gt;$K71,0,$C$34-$C$37)))*((1/(1-((273+$C$37)/(273+$C$36)))/2)-1)/(1/(1-((273+$C$37)/(273+$C$36)))/2)-($C$38/2-$C$39)/24/365&gt;0,$C$32*$C$33*($C$34-$K71)/1000+Q$38*0.00035*($C$34-$K71)-Q$38*0.00035*((IF($C$37&gt;$K71,0,$C$34-$C$37)))*((1/(1-((273+$C$37)/(273+$C$36)))/2)-1)/(1/(1-((273+$C$37)/(273+$C$36)))/2)-($C$38/2-$C$39)/24/365,0))/(1/(1-((273+$B71)/(273+$C$36+15)))/2)</f>
        <v>0.14376638431475366</v>
      </c>
      <c r="R71" s="23"/>
    </row>
    <row r="72" spans="2:18" x14ac:dyDescent="0.35">
      <c r="B72" s="6">
        <v>10</v>
      </c>
      <c r="C72" s="45">
        <f>$C$32*$C$33*($C$34-B72)/1000</f>
        <v>1.2</v>
      </c>
      <c r="D72" s="45">
        <f>$C$35*0.00035*($C$34-B72)</f>
        <v>0.52500000000000002</v>
      </c>
      <c r="E72" s="8">
        <f t="shared" si="2"/>
        <v>1.7250000000000001</v>
      </c>
      <c r="F72" s="45">
        <f>1/(1-((273+$B72)/(273+$C$36)))/2</f>
        <v>6.1599999999999957</v>
      </c>
      <c r="G72" s="8">
        <f>$C$35*0.00035*((IF(C$37&gt;B72,0,$C$34-C$37)))*(F72-1)/F72</f>
        <v>1.4952272727272726</v>
      </c>
      <c r="H72" s="46">
        <f>($C$38/2-$C$39)/24/365</f>
        <v>0.11415525114155251</v>
      </c>
      <c r="I72" s="46">
        <f>1/(1-((273+$B72)/(273+$C$36+20)))/2</f>
        <v>3.6444444444444444</v>
      </c>
      <c r="J72" s="26">
        <f>IF(E72-G72-H72&gt;0,E72-G72-H72,0)</f>
        <v>0.11561747613117496</v>
      </c>
      <c r="K72" s="27">
        <f>B72</f>
        <v>10</v>
      </c>
      <c r="L72" s="23">
        <f>IF($C$32*$C$33*($C$34-$K72)/1000+L$38*0.00035*($C$34-$K72)-($C$38/2-$C$39)/24/365&gt;0,$C$32*$C$33*($C$34-$K72)/1000+L$38*0.00035*($C$34-$K72)-($C$38/2-$C$39)/24/365,0)</f>
        <v>1.6108447488584476</v>
      </c>
      <c r="M72" s="23">
        <f>IF($C$32*$C$33*($C$34-$K72)/1000+M$38*0.00035*($C$34-$K72)-M$38*0.00035*((IF($C$37&gt;$K72,0,$C$34-$C$37)))*((1/(1-((273+$C$37)/(273+$C$36)))/2)-1)/(1/(1-((273+$C$37)/(273+$C$36)))/2)-($C$38/2-$C$39)/24/365&gt;0,$C$32*$C$33*($C$34-$K72)/1000+M$38*0.00035*($C$34-$K72)-M$38*0.00035*((IF($C$37&gt;$K72,0,$C$34-$C$37)))*((1/(1-((273+$C$37)/(273+$C$36)))/2)-1)/(1/(1-((273+$C$37)/(273+$C$36)))/2)-($C$38/2-$C$39)/24/365,0)</f>
        <v>1.0858447488584475</v>
      </c>
      <c r="N72" s="23">
        <f>IF($C$32*$C$33*($C$34-$K72)/1000+N$38*0.00035*($C$34-$K72)-N$38*0.00035*((IF($C$37&gt;$K72,0,$C$34-$C$37)))*((1/(1-((273+$C$37)/(273+$C$36)))/2)-1)/(1/(1-((273+$C$37)/(273+$C$36)))/2)-($C$38/2-$C$39)/24/365&gt;0,$C$32*$C$33*($C$34-$K72)/1000+N$38*0.00035*($C$34-$K72)-N$38*0.00035*((IF($C$37&gt;$K72,0,$C$34-$C$37)))*((1/(1-((273+$C$37)/(273+$C$36)))/2)-1)/(1/(1-((273+$C$37)/(273+$C$36)))/2)-($C$38/2-$C$39)/24/365,0)</f>
        <v>0.8551629306766293</v>
      </c>
      <c r="O72" s="23">
        <f>IF($C$32*$C$33*($C$34-$K72)/1000+O$38*0.00035*($C$34-$K72)-O$38*0.00035*((IF($C$37&gt;$K72,0,$C$34-$C$37)))*((1/(1-((273+$C$37)/(273+$C$36)))/2)-1)/(1/(1-((273+$C$37)/(273+$C$36)))/2)-($C$38/2-$C$39)/24/365&gt;0,$C$32*$C$33*($C$34-$K72)/1000+O$38*0.00035*($C$34-$K72)-O$38*0.00035*((IF($C$37&gt;$K72,0,$C$34-$C$37)))*((1/(1-((273+$C$37)/(273+$C$36)))/2)-1)/(1/(1-((273+$C$37)/(273+$C$36)))/2)-($C$38/2-$C$39)/24/365,0)</f>
        <v>0.39379929431299304</v>
      </c>
      <c r="P72" s="23">
        <f>IF($C$32*$C$33*($C$34-$K72)/1000+P$38*0.00035*($C$34-$K72)-P$38*0.00035*((IF($C$37&gt;$K72,0,$C$34-$C$37)))*((1/(1-((273+$C$37)/(273+$C$36)))/2)-1)/(1/(1-((273+$C$37)/(273+$C$36)))/2)-($C$38/2-$C$39)/24/365&gt;0,$C$32*$C$33*($C$34-$K72)/1000+P$38*0.00035*($C$34-$K72)-P$38*0.00035*((IF($C$37&gt;$K72,0,$C$34-$C$37)))*((1/(1-((273+$C$37)/(273+$C$36)))/2)-1)/(1/(1-((273+$C$37)/(273+$C$36)))/2)-($C$38/2-$C$39)/24/365,0)</f>
        <v>0</v>
      </c>
      <c r="Q72" s="23">
        <f>(IF($C$32*$C$33*($C$34-$K72)/1000+Q$38*0.00035*($C$34-$K72)-Q$38*0.00035*((IF($C$37&gt;$K72,0,$C$34-$C$37)))*((1/(1-((273+$C$37)/(273+$C$36)))/2)-1)/(1/(1-((273+$C$37)/(273+$C$36)))/2)-($C$38/2-$C$39)/24/365&gt;0,$C$32*$C$33*($C$34-$K72)/1000+Q$38*0.00035*($C$34-$K72)-Q$38*0.00035*((IF($C$37&gt;$K72,0,$C$34-$C$37)))*((1/(1-((273+$C$37)/(273+$C$36)))/2)-1)/(1/(1-((273+$C$37)/(273+$C$36)))/2)-($C$38/2-$C$39)/24/365,0))/(1/(1-((273+$B72)/(273+$C$36+15)))/2)</f>
        <v>9.7535428932010643E-2</v>
      </c>
      <c r="R72" s="23"/>
    </row>
    <row r="73" spans="2:18" x14ac:dyDescent="0.35">
      <c r="B73" s="6">
        <v>11</v>
      </c>
      <c r="C73" s="45">
        <f>$C$32*$C$33*($C$34-B73)/1000</f>
        <v>1.08</v>
      </c>
      <c r="D73" s="45">
        <f>$C$35*0.00035*($C$34-B73)</f>
        <v>0.47249999999999998</v>
      </c>
      <c r="E73" s="8">
        <f t="shared" si="2"/>
        <v>1.5525</v>
      </c>
      <c r="F73" s="45">
        <f>1/(1-((273+$B73)/(273+$C$36)))/2</f>
        <v>6.4166666666666643</v>
      </c>
      <c r="G73" s="8">
        <f>$C$35*0.00035*((IF(C$37&gt;B73,0,$C$34-C$37)))*(F73-1)/F73</f>
        <v>1.5068181818181816</v>
      </c>
      <c r="H73" s="46">
        <f>($C$38/2-$C$39)/24/365</f>
        <v>0.11415525114155251</v>
      </c>
      <c r="I73" s="46">
        <f>1/(1-((273+$B73)/(273+$C$36+20)))/2</f>
        <v>3.7272727272727271</v>
      </c>
      <c r="J73" s="26">
        <f>IF(E73-G73-H73&gt;0,E73-G73-H73,0)</f>
        <v>0</v>
      </c>
      <c r="K73" s="27">
        <f>B73</f>
        <v>11</v>
      </c>
      <c r="L73" s="23">
        <f>IF($C$32*$C$33*($C$34-$K73)/1000+L$38*0.00035*($C$34-$K73)-($C$38/2-$C$39)/24/365&gt;0,$C$32*$C$33*($C$34-$K73)/1000+L$38*0.00035*($C$34-$K73)-($C$38/2-$C$39)/24/365,0)</f>
        <v>1.4383447488584475</v>
      </c>
      <c r="M73" s="23">
        <f>IF($C$32*$C$33*($C$34-$K73)/1000+M$38*0.00035*($C$34-$K73)-M$38*0.00035*((IF($C$37&gt;$K73,0,$C$34-$C$37)))*((1/(1-((273+$C$37)/(273+$C$36)))/2)-1)/(1/(1-((273+$C$37)/(273+$C$36)))/2)-($C$38/2-$C$39)/24/365&gt;0,$C$32*$C$33*($C$34-$K73)/1000+M$38*0.00035*($C$34-$K73)-M$38*0.00035*((IF($C$37&gt;$K73,0,$C$34-$C$37)))*((1/(1-((273+$C$37)/(273+$C$36)))/2)-1)/(1/(1-((273+$C$37)/(273+$C$36)))/2)-($C$38/2-$C$39)/24/365,0)</f>
        <v>0.96584474885844762</v>
      </c>
      <c r="N73" s="23">
        <f>IF($C$32*$C$33*($C$34-$K73)/1000+N$38*0.00035*($C$34-$K73)-N$38*0.00035*((IF($C$37&gt;$K73,0,$C$34-$C$37)))*((1/(1-((273+$C$37)/(273+$C$36)))/2)-1)/(1/(1-((273+$C$37)/(273+$C$36)))/2)-($C$38/2-$C$39)/24/365&gt;0,$C$32*$C$33*($C$34-$K73)/1000+N$38*0.00035*($C$34-$K73)-N$38*0.00035*((IF($C$37&gt;$K73,0,$C$34-$C$37)))*((1/(1-((273+$C$37)/(273+$C$36)))/2)-1)/(1/(1-((273+$C$37)/(273+$C$36)))/2)-($C$38/2-$C$39)/24/365,0)</f>
        <v>0.71766293067662934</v>
      </c>
      <c r="O73" s="23">
        <f>IF($C$32*$C$33*($C$34-$K73)/1000+O$38*0.00035*($C$34-$K73)-O$38*0.00035*((IF($C$37&gt;$K73,0,$C$34-$C$37)))*((1/(1-((273+$C$37)/(273+$C$36)))/2)-1)/(1/(1-((273+$C$37)/(273+$C$36)))/2)-($C$38/2-$C$39)/24/365&gt;0,$C$32*$C$33*($C$34-$K73)/1000+O$38*0.00035*($C$34-$K73)-O$38*0.00035*((IF($C$37&gt;$K73,0,$C$34-$C$37)))*((1/(1-((273+$C$37)/(273+$C$36)))/2)-1)/(1/(1-((273+$C$37)/(273+$C$36)))/2)-($C$38/2-$C$39)/24/365,0)</f>
        <v>0.22129929431299294</v>
      </c>
      <c r="P73" s="23">
        <f>IF($C$32*$C$33*($C$34-$K73)/1000+P$38*0.00035*($C$34-$K73)-P$38*0.00035*((IF($C$37&gt;$K73,0,$C$34-$C$37)))*((1/(1-((273+$C$37)/(273+$C$36)))/2)-1)/(1/(1-((273+$C$37)/(273+$C$36)))/2)-($C$38/2-$C$39)/24/365&gt;0,$C$32*$C$33*($C$34-$K73)/1000+P$38*0.00035*($C$34-$K73)-P$38*0.00035*((IF($C$37&gt;$K73,0,$C$34-$C$37)))*((1/(1-((273+$C$37)/(273+$C$36)))/2)-1)/(1/(1-((273+$C$37)/(273+$C$36)))/2)-($C$38/2-$C$39)/24/365,0)</f>
        <v>0</v>
      </c>
      <c r="Q73" s="23">
        <f>(IF($C$32*$C$33*($C$34-$K73)/1000+Q$38*0.00035*($C$34-$K73)-Q$38*0.00035*((IF($C$37&gt;$K73,0,$C$34-$C$37)))*((1/(1-((273+$C$37)/(273+$C$36)))/2)-1)/(1/(1-((273+$C$37)/(273+$C$36)))/2)-($C$38/2-$C$39)/24/365&gt;0,$C$32*$C$33*($C$34-$K73)/1000+Q$38*0.00035*($C$34-$K73)-Q$38*0.00035*((IF($C$37&gt;$K73,0,$C$34-$C$37)))*((1/(1-((273+$C$37)/(273+$C$36)))/2)-1)/(1/(1-((273+$C$37)/(273+$C$36)))/2)-($C$38/2-$C$39)/24/365,0))/(1/(1-((273+$B73)/(273+$C$36+15)))/2)</f>
        <v>5.3440696459484349E-2</v>
      </c>
      <c r="R73" s="23"/>
    </row>
    <row r="74" spans="2:18" x14ac:dyDescent="0.35">
      <c r="B74" s="6">
        <v>12</v>
      </c>
      <c r="C74" s="45">
        <f>$C$32*$C$33*($C$34-B74)/1000</f>
        <v>0.96</v>
      </c>
      <c r="D74" s="45">
        <f>$C$35*0.00035*($C$34-B74)</f>
        <v>0.42</v>
      </c>
      <c r="E74" s="8">
        <f t="shared" si="2"/>
        <v>1.38</v>
      </c>
      <c r="F74" s="45">
        <f>1/(1-((273+$B74)/(273+$C$36)))/2</f>
        <v>6.6956521739130439</v>
      </c>
      <c r="G74" s="8">
        <f>$C$35*0.00035*((IF(C$37&gt;B74,0,$C$34-C$37)))*(F74-1)/F74</f>
        <v>1.5184090909090908</v>
      </c>
      <c r="H74" s="46">
        <f>($C$38/2-$C$39)/24/365</f>
        <v>0.11415525114155251</v>
      </c>
      <c r="I74" s="46">
        <f>1/(1-((273+$B74)/(273+$C$36+20)))/2</f>
        <v>3.8139534883720927</v>
      </c>
      <c r="J74" s="26">
        <f>IF(E74-G74-H74&gt;0,E74-G74-H74,0)</f>
        <v>0</v>
      </c>
      <c r="K74" s="27">
        <f>B74</f>
        <v>12</v>
      </c>
      <c r="L74" s="23">
        <f>IF($C$32*$C$33*($C$34-$K74)/1000+L$38*0.00035*($C$34-$K74)-($C$38/2-$C$39)/24/365&gt;0,$C$32*$C$33*($C$34-$K74)/1000+L$38*0.00035*($C$34-$K74)-($C$38/2-$C$39)/24/365,0)</f>
        <v>1.2658447488584474</v>
      </c>
      <c r="M74" s="23">
        <f>IF($C$32*$C$33*($C$34-$K74)/1000+M$38*0.00035*($C$34-$K74)-M$38*0.00035*((IF($C$37&gt;$K74,0,$C$34-$C$37)))*((1/(1-((273+$C$37)/(273+$C$36)))/2)-1)/(1/(1-((273+$C$37)/(273+$C$36)))/2)-($C$38/2-$C$39)/24/365&gt;0,$C$32*$C$33*($C$34-$K74)/1000+M$38*0.00035*($C$34-$K74)-M$38*0.00035*((IF($C$37&gt;$K74,0,$C$34-$C$37)))*((1/(1-((273+$C$37)/(273+$C$36)))/2)-1)/(1/(1-((273+$C$37)/(273+$C$36)))/2)-($C$38/2-$C$39)/24/365,0)</f>
        <v>0.84584474885844751</v>
      </c>
      <c r="N74" s="23">
        <f>IF($C$32*$C$33*($C$34-$K74)/1000+N$38*0.00035*($C$34-$K74)-N$38*0.00035*((IF($C$37&gt;$K74,0,$C$34-$C$37)))*((1/(1-((273+$C$37)/(273+$C$36)))/2)-1)/(1/(1-((273+$C$37)/(273+$C$36)))/2)-($C$38/2-$C$39)/24/365&gt;0,$C$32*$C$33*($C$34-$K74)/1000+N$38*0.00035*($C$34-$K74)-N$38*0.00035*((IF($C$37&gt;$K74,0,$C$34-$C$37)))*((1/(1-((273+$C$37)/(273+$C$36)))/2)-1)/(1/(1-((273+$C$37)/(273+$C$36)))/2)-($C$38/2-$C$39)/24/365,0)</f>
        <v>0.58016293067662916</v>
      </c>
      <c r="O74" s="23">
        <f>IF($C$32*$C$33*($C$34-$K74)/1000+O$38*0.00035*($C$34-$K74)-O$38*0.00035*((IF($C$37&gt;$K74,0,$C$34-$C$37)))*((1/(1-((273+$C$37)/(273+$C$36)))/2)-1)/(1/(1-((273+$C$37)/(273+$C$36)))/2)-($C$38/2-$C$39)/24/365&gt;0,$C$32*$C$33*($C$34-$K74)/1000+O$38*0.00035*($C$34-$K74)-O$38*0.00035*((IF($C$37&gt;$K74,0,$C$34-$C$37)))*((1/(1-((273+$C$37)/(273+$C$36)))/2)-1)/(1/(1-((273+$C$37)/(273+$C$36)))/2)-($C$38/2-$C$39)/24/365,0)</f>
        <v>4.8799294312992847E-2</v>
      </c>
      <c r="P74" s="23">
        <f>IF($C$32*$C$33*($C$34-$K74)/1000+P$38*0.00035*($C$34-$K74)-P$38*0.00035*((IF($C$37&gt;$K74,0,$C$34-$C$37)))*((1/(1-((273+$C$37)/(273+$C$36)))/2)-1)/(1/(1-((273+$C$37)/(273+$C$36)))/2)-($C$38/2-$C$39)/24/365&gt;0,$C$32*$C$33*($C$34-$K74)/1000+P$38*0.00035*($C$34-$K74)-P$38*0.00035*((IF($C$37&gt;$K74,0,$C$34-$C$37)))*((1/(1-((273+$C$37)/(273+$C$36)))/2)-1)/(1/(1-((273+$C$37)/(273+$C$36)))/2)-($C$38/2-$C$39)/24/365,0)</f>
        <v>0</v>
      </c>
      <c r="Q74" s="23">
        <f>(IF($C$32*$C$33*($C$34-$K74)/1000+Q$38*0.00035*($C$34-$K74)-Q$38*0.00035*((IF($C$37&gt;$K74,0,$C$34-$C$37)))*((1/(1-((273+$C$37)/(273+$C$36)))/2)-1)/(1/(1-((273+$C$37)/(273+$C$36)))/2)-($C$38/2-$C$39)/24/365&gt;0,$C$32*$C$33*($C$34-$K74)/1000+Q$38*0.00035*($C$34-$K74)-Q$38*0.00035*((IF($C$37&gt;$K74,0,$C$34-$C$37)))*((1/(1-((273+$C$37)/(273+$C$36)))/2)-1)/(1/(1-((273+$C$37)/(273+$C$36)))/2)-($C$38/2-$C$39)/24/365,0))/(1/(1-((273+$B74)/(273+$C$36+15)))/2)</f>
        <v>1.1482186897174789E-2</v>
      </c>
      <c r="R74" s="23"/>
    </row>
    <row r="75" spans="2:18" x14ac:dyDescent="0.35">
      <c r="B75" s="6">
        <v>13</v>
      </c>
      <c r="C75" s="45">
        <f>$C$32*$C$33*($C$34-B75)/1000</f>
        <v>0.84</v>
      </c>
      <c r="D75" s="45">
        <f>$C$35*0.00035*($C$34-B75)</f>
        <v>0.36749999999999999</v>
      </c>
      <c r="E75" s="8">
        <f t="shared" si="2"/>
        <v>1.2075</v>
      </c>
      <c r="F75" s="45">
        <f>1/(1-((273+$B75)/(273+$C$36)))/2</f>
        <v>7.0000000000000036</v>
      </c>
      <c r="G75" s="8">
        <f>$C$35*0.00035*((IF(C$37&gt;B75,0,$C$34-C$37)))*(F75-1)/F75</f>
        <v>1.53</v>
      </c>
      <c r="H75" s="46">
        <f>($C$38/2-$C$39)/24/365</f>
        <v>0.11415525114155251</v>
      </c>
      <c r="I75" s="46">
        <f>1/(1-((273+$B75)/(273+$C$36+20)))/2</f>
        <v>3.9047619047619047</v>
      </c>
      <c r="J75" s="26">
        <f>IF(E75-G75-H75&gt;0,E75-G75-H75,0)</f>
        <v>0</v>
      </c>
      <c r="K75" s="27">
        <f>B75</f>
        <v>13</v>
      </c>
      <c r="L75" s="23">
        <f>IF($C$32*$C$33*($C$34-$K75)/1000+L$38*0.00035*($C$34-$K75)-($C$38/2-$C$39)/24/365&gt;0,$C$32*$C$33*($C$34-$K75)/1000+L$38*0.00035*($C$34-$K75)-($C$38/2-$C$39)/24/365,0)</f>
        <v>1.0933447488584476</v>
      </c>
      <c r="M75" s="23">
        <f>IF($C$32*$C$33*($C$34-$K75)/1000+M$38*0.00035*($C$34-$K75)-M$38*0.00035*((IF($C$37&gt;$K75,0,$C$34-$C$37)))*((1/(1-((273+$C$37)/(273+$C$36)))/2)-1)/(1/(1-((273+$C$37)/(273+$C$36)))/2)-($C$38/2-$C$39)/24/365&gt;0,$C$32*$C$33*($C$34-$K75)/1000+M$38*0.00035*($C$34-$K75)-M$38*0.00035*((IF($C$37&gt;$K75,0,$C$34-$C$37)))*((1/(1-((273+$C$37)/(273+$C$36)))/2)-1)/(1/(1-((273+$C$37)/(273+$C$36)))/2)-($C$38/2-$C$39)/24/365,0)</f>
        <v>0.72584474885844741</v>
      </c>
      <c r="N75" s="23">
        <f>IF($C$32*$C$33*($C$34-$K75)/1000+N$38*0.00035*($C$34-$K75)-N$38*0.00035*((IF($C$37&gt;$K75,0,$C$34-$C$37)))*((1/(1-((273+$C$37)/(273+$C$36)))/2)-1)/(1/(1-((273+$C$37)/(273+$C$36)))/2)-($C$38/2-$C$39)/24/365&gt;0,$C$32*$C$33*($C$34-$K75)/1000+N$38*0.00035*($C$34-$K75)-N$38*0.00035*((IF($C$37&gt;$K75,0,$C$34-$C$37)))*((1/(1-((273+$C$37)/(273+$C$36)))/2)-1)/(1/(1-((273+$C$37)/(273+$C$36)))/2)-($C$38/2-$C$39)/24/365,0)</f>
        <v>0.44266293067662915</v>
      </c>
      <c r="O75" s="23">
        <f>IF($C$32*$C$33*($C$34-$K75)/1000+O$38*0.00035*($C$34-$K75)-O$38*0.00035*((IF($C$37&gt;$K75,0,$C$34-$C$37)))*((1/(1-((273+$C$37)/(273+$C$36)))/2)-1)/(1/(1-((273+$C$37)/(273+$C$36)))/2)-($C$38/2-$C$39)/24/365&gt;0,$C$32*$C$33*($C$34-$K75)/1000+O$38*0.00035*($C$34-$K75)-O$38*0.00035*((IF($C$37&gt;$K75,0,$C$34-$C$37)))*((1/(1-((273+$C$37)/(273+$C$36)))/2)-1)/(1/(1-((273+$C$37)/(273+$C$36)))/2)-($C$38/2-$C$39)/24/365,0)</f>
        <v>0</v>
      </c>
      <c r="P75" s="23">
        <f>IF($C$32*$C$33*($C$34-$K75)/1000+P$38*0.00035*($C$34-$K75)-P$38*0.00035*((IF($C$37&gt;$K75,0,$C$34-$C$37)))*((1/(1-((273+$C$37)/(273+$C$36)))/2)-1)/(1/(1-((273+$C$37)/(273+$C$36)))/2)-($C$38/2-$C$39)/24/365&gt;0,$C$32*$C$33*($C$34-$K75)/1000+P$38*0.00035*($C$34-$K75)-P$38*0.00035*((IF($C$37&gt;$K75,0,$C$34-$C$37)))*((1/(1-((273+$C$37)/(273+$C$36)))/2)-1)/(1/(1-((273+$C$37)/(273+$C$36)))/2)-($C$38/2-$C$39)/24/365,0)</f>
        <v>0</v>
      </c>
      <c r="Q75" s="23">
        <f>(IF($C$32*$C$33*($C$34-$K75)/1000+Q$38*0.00035*($C$34-$K75)-Q$38*0.00035*((IF($C$37&gt;$K75,0,$C$34-$C$37)))*((1/(1-((273+$C$37)/(273+$C$36)))/2)-1)/(1/(1-((273+$C$37)/(273+$C$36)))/2)-($C$38/2-$C$39)/24/365&gt;0,$C$32*$C$33*($C$34-$K75)/1000+Q$38*0.00035*($C$34-$K75)-Q$38*0.00035*((IF($C$37&gt;$K75,0,$C$34-$C$37)))*((1/(1-((273+$C$37)/(273+$C$36)))/2)-1)/(1/(1-((273+$C$37)/(273+$C$36)))/2)-($C$38/2-$C$39)/24/365,0))/(1/(1-((273+$B75)/(273+$C$36+15)))/2)</f>
        <v>0</v>
      </c>
      <c r="R75" s="23"/>
    </row>
    <row r="76" spans="2:18" x14ac:dyDescent="0.35">
      <c r="B76" s="6">
        <v>14</v>
      </c>
      <c r="C76" s="45">
        <f>$C$32*$C$33*($C$34-B76)/1000</f>
        <v>0.72</v>
      </c>
      <c r="D76" s="45">
        <f>$C$35*0.00035*($C$34-B76)</f>
        <v>0.315</v>
      </c>
      <c r="E76" s="8">
        <f t="shared" si="2"/>
        <v>1.0349999999999999</v>
      </c>
      <c r="F76" s="45">
        <f>1/(1-((273+$B76)/(273+$C$36)))/2</f>
        <v>7.3333333333333277</v>
      </c>
      <c r="G76" s="8">
        <f>$C$35*0.00035*((IF(C$37&gt;B76,0,$C$34-C$37)))*(F76-1)/F76</f>
        <v>1.5415909090909088</v>
      </c>
      <c r="H76" s="46">
        <f>($C$38/2-$C$39)/24/365</f>
        <v>0.11415525114155251</v>
      </c>
      <c r="I76" s="46">
        <f>1/(1-((273+$B76)/(273+$C$36+20)))/2</f>
        <v>4</v>
      </c>
      <c r="J76" s="26">
        <f>IF(E76-G76-H76&gt;0,E76-G76-H76,0)</f>
        <v>0</v>
      </c>
      <c r="K76" s="27">
        <f>B76</f>
        <v>14</v>
      </c>
      <c r="L76" s="23">
        <f>IF($C$32*$C$33*($C$34-$K76)/1000+L$38*0.00035*($C$34-$K76)-($C$38/2-$C$39)/24/365&gt;0,$C$32*$C$33*($C$34-$K76)/1000+L$38*0.00035*($C$34-$K76)-($C$38/2-$C$39)/24/365,0)</f>
        <v>0.92084474885844747</v>
      </c>
      <c r="M76" s="23">
        <f>IF($C$32*$C$33*($C$34-$K76)/1000+M$38*0.00035*($C$34-$K76)-M$38*0.00035*((IF($C$37&gt;$K76,0,$C$34-$C$37)))*((1/(1-((273+$C$37)/(273+$C$36)))/2)-1)/(1/(1-((273+$C$37)/(273+$C$36)))/2)-($C$38/2-$C$39)/24/365&gt;0,$C$32*$C$33*($C$34-$K76)/1000+M$38*0.00035*($C$34-$K76)-M$38*0.00035*((IF($C$37&gt;$K76,0,$C$34-$C$37)))*((1/(1-((273+$C$37)/(273+$C$36)))/2)-1)/(1/(1-((273+$C$37)/(273+$C$36)))/2)-($C$38/2-$C$39)/24/365,0)</f>
        <v>0.60584474885844752</v>
      </c>
      <c r="N76" s="23">
        <f>IF($C$32*$C$33*($C$34-$K76)/1000+N$38*0.00035*($C$34-$K76)-N$38*0.00035*((IF($C$37&gt;$K76,0,$C$34-$C$37)))*((1/(1-((273+$C$37)/(273+$C$36)))/2)-1)/(1/(1-((273+$C$37)/(273+$C$36)))/2)-($C$38/2-$C$39)/24/365&gt;0,$C$32*$C$33*($C$34-$K76)/1000+N$38*0.00035*($C$34-$K76)-N$38*0.00035*((IF($C$37&gt;$K76,0,$C$34-$C$37)))*((1/(1-((273+$C$37)/(273+$C$36)))/2)-1)/(1/(1-((273+$C$37)/(273+$C$36)))/2)-($C$38/2-$C$39)/24/365,0)</f>
        <v>0.30516293067662925</v>
      </c>
      <c r="O76" s="23">
        <f>IF($C$32*$C$33*($C$34-$K76)/1000+O$38*0.00035*($C$34-$K76)-O$38*0.00035*((IF($C$37&gt;$K76,0,$C$34-$C$37)))*((1/(1-((273+$C$37)/(273+$C$36)))/2)-1)/(1/(1-((273+$C$37)/(273+$C$36)))/2)-($C$38/2-$C$39)/24/365&gt;0,$C$32*$C$33*($C$34-$K76)/1000+O$38*0.00035*($C$34-$K76)-O$38*0.00035*((IF($C$37&gt;$K76,0,$C$34-$C$37)))*((1/(1-((273+$C$37)/(273+$C$36)))/2)-1)/(1/(1-((273+$C$37)/(273+$C$36)))/2)-($C$38/2-$C$39)/24/365,0)</f>
        <v>0</v>
      </c>
      <c r="P76" s="23">
        <f>IF($C$32*$C$33*($C$34-$K76)/1000+P$38*0.00035*($C$34-$K76)-P$38*0.00035*((IF($C$37&gt;$K76,0,$C$34-$C$37)))*((1/(1-((273+$C$37)/(273+$C$36)))/2)-1)/(1/(1-((273+$C$37)/(273+$C$36)))/2)-($C$38/2-$C$39)/24/365&gt;0,$C$32*$C$33*($C$34-$K76)/1000+P$38*0.00035*($C$34-$K76)-P$38*0.00035*((IF($C$37&gt;$K76,0,$C$34-$C$37)))*((1/(1-((273+$C$37)/(273+$C$36)))/2)-1)/(1/(1-((273+$C$37)/(273+$C$36)))/2)-($C$38/2-$C$39)/24/365,0)</f>
        <v>0</v>
      </c>
      <c r="Q76" s="23">
        <f>(IF($C$32*$C$33*($C$34-$K76)/1000+Q$38*0.00035*($C$34-$K76)-Q$38*0.00035*((IF($C$37&gt;$K76,0,$C$34-$C$37)))*((1/(1-((273+$C$37)/(273+$C$36)))/2)-1)/(1/(1-((273+$C$37)/(273+$C$36)))/2)-($C$38/2-$C$39)/24/365&gt;0,$C$32*$C$33*($C$34-$K76)/1000+Q$38*0.00035*($C$34-$K76)-Q$38*0.00035*((IF($C$37&gt;$K76,0,$C$34-$C$37)))*((1/(1-((273+$C$37)/(273+$C$36)))/2)-1)/(1/(1-((273+$C$37)/(273+$C$36)))/2)-($C$38/2-$C$39)/24/365,0))/(1/(1-((273+$B76)/(273+$C$36+15)))/2)</f>
        <v>0</v>
      </c>
      <c r="R76" s="23"/>
    </row>
    <row r="77" spans="2:18" x14ac:dyDescent="0.35">
      <c r="B77" s="6">
        <v>15</v>
      </c>
      <c r="C77" s="45">
        <f>$C$32*$C$33*($C$34-B77)/1000</f>
        <v>0.6</v>
      </c>
      <c r="D77" s="45">
        <f>$C$35*0.00035*($C$34-B77)</f>
        <v>0.26250000000000001</v>
      </c>
      <c r="E77" s="8">
        <f t="shared" si="2"/>
        <v>0.86250000000000004</v>
      </c>
      <c r="F77" s="45">
        <f>1/(1-((273+$B77)/(273+$C$36)))/2</f>
        <v>7.6999999999999975</v>
      </c>
      <c r="G77" s="8">
        <f>$C$35*0.00035*((IF(C$37&gt;B77,0,$C$34-C$37)))*(F77-1)/F77</f>
        <v>1.553181818181818</v>
      </c>
      <c r="H77" s="46">
        <f>($C$38/2-$C$39)/24/365</f>
        <v>0.11415525114155251</v>
      </c>
      <c r="I77" s="46">
        <f>1/(1-((273+$B77)/(273+$C$36+20)))/2</f>
        <v>4.1000000000000005</v>
      </c>
      <c r="J77" s="26">
        <f>IF(E77-G77-H77&gt;0,E77-G77-H77,0)</f>
        <v>0</v>
      </c>
      <c r="K77" s="27">
        <f>B77</f>
        <v>15</v>
      </c>
      <c r="L77" s="23">
        <f>IF($C$32*$C$33*($C$34-$K77)/1000+L$38*0.00035*($C$34-$K77)-($C$38/2-$C$39)/24/365&gt;0,$C$32*$C$33*($C$34-$K77)/1000+L$38*0.00035*($C$34-$K77)-($C$38/2-$C$39)/24/365,0)</f>
        <v>0.74834474885844759</v>
      </c>
      <c r="M77" s="23">
        <f>IF($C$32*$C$33*($C$34-$K77)/1000+M$38*0.00035*($C$34-$K77)-M$38*0.00035*((IF($C$37&gt;$K77,0,$C$34-$C$37)))*((1/(1-((273+$C$37)/(273+$C$36)))/2)-1)/(1/(1-((273+$C$37)/(273+$C$36)))/2)-($C$38/2-$C$39)/24/365&gt;0,$C$32*$C$33*($C$34-$K77)/1000+M$38*0.00035*($C$34-$K77)-M$38*0.00035*((IF($C$37&gt;$K77,0,$C$34-$C$37)))*((1/(1-((273+$C$37)/(273+$C$36)))/2)-1)/(1/(1-((273+$C$37)/(273+$C$36)))/2)-($C$38/2-$C$39)/24/365,0)</f>
        <v>0.48584474885844747</v>
      </c>
      <c r="N77" s="23">
        <f>IF($C$32*$C$33*($C$34-$K77)/1000+N$38*0.00035*($C$34-$K77)-N$38*0.00035*((IF($C$37&gt;$K77,0,$C$34-$C$37)))*((1/(1-((273+$C$37)/(273+$C$36)))/2)-1)/(1/(1-((273+$C$37)/(273+$C$36)))/2)-($C$38/2-$C$39)/24/365&gt;0,$C$32*$C$33*($C$34-$K77)/1000+N$38*0.00035*($C$34-$K77)-N$38*0.00035*((IF($C$37&gt;$K77,0,$C$34-$C$37)))*((1/(1-((273+$C$37)/(273+$C$36)))/2)-1)/(1/(1-((273+$C$37)/(273+$C$36)))/2)-($C$38/2-$C$39)/24/365,0)</f>
        <v>0.1676629306766293</v>
      </c>
      <c r="O77" s="23">
        <f>IF($C$32*$C$33*($C$34-$K77)/1000+O$38*0.00035*($C$34-$K77)-O$38*0.00035*((IF($C$37&gt;$K77,0,$C$34-$C$37)))*((1/(1-((273+$C$37)/(273+$C$36)))/2)-1)/(1/(1-((273+$C$37)/(273+$C$36)))/2)-($C$38/2-$C$39)/24/365&gt;0,$C$32*$C$33*($C$34-$K77)/1000+O$38*0.00035*($C$34-$K77)-O$38*0.00035*((IF($C$37&gt;$K77,0,$C$34-$C$37)))*((1/(1-((273+$C$37)/(273+$C$36)))/2)-1)/(1/(1-((273+$C$37)/(273+$C$36)))/2)-($C$38/2-$C$39)/24/365,0)</f>
        <v>0</v>
      </c>
      <c r="P77" s="23">
        <f>IF($C$32*$C$33*($C$34-$K77)/1000+P$38*0.00035*($C$34-$K77)-P$38*0.00035*((IF($C$37&gt;$K77,0,$C$34-$C$37)))*((1/(1-((273+$C$37)/(273+$C$36)))/2)-1)/(1/(1-((273+$C$37)/(273+$C$36)))/2)-($C$38/2-$C$39)/24/365&gt;0,$C$32*$C$33*($C$34-$K77)/1000+P$38*0.00035*($C$34-$K77)-P$38*0.00035*((IF($C$37&gt;$K77,0,$C$34-$C$37)))*((1/(1-((273+$C$37)/(273+$C$36)))/2)-1)/(1/(1-((273+$C$37)/(273+$C$36)))/2)-($C$38/2-$C$39)/24/365,0)</f>
        <v>0</v>
      </c>
      <c r="Q77" s="23">
        <f>(IF($C$32*$C$33*($C$34-$K77)/1000+Q$38*0.00035*($C$34-$K77)-Q$38*0.00035*((IF($C$37&gt;$K77,0,$C$34-$C$37)))*((1/(1-((273+$C$37)/(273+$C$36)))/2)-1)/(1/(1-((273+$C$37)/(273+$C$36)))/2)-($C$38/2-$C$39)/24/365&gt;0,$C$32*$C$33*($C$34-$K77)/1000+Q$38*0.00035*($C$34-$K77)-Q$38*0.00035*((IF($C$37&gt;$K77,0,$C$34-$C$37)))*((1/(1-((273+$C$37)/(273+$C$36)))/2)-1)/(1/(1-((273+$C$37)/(273+$C$36)))/2)-($C$38/2-$C$39)/24/365,0))/(1/(1-((273+$B77)/(273+$C$36+15)))/2)</f>
        <v>0</v>
      </c>
      <c r="R77" s="23"/>
    </row>
    <row r="78" spans="2:18" x14ac:dyDescent="0.35">
      <c r="B78" s="6">
        <v>16</v>
      </c>
      <c r="C78" s="45">
        <f>$C$32*$C$33*($C$34-B78)/1000</f>
        <v>0.48</v>
      </c>
      <c r="D78" s="45">
        <f>$C$35*0.00035*($C$34-B78)</f>
        <v>0.21</v>
      </c>
      <c r="E78" s="8">
        <f t="shared" si="2"/>
        <v>0.69</v>
      </c>
      <c r="F78" s="45">
        <f>1/(1-((273+$B78)/(273+$C$36)))/2</f>
        <v>8.1052631578947381</v>
      </c>
      <c r="G78" s="8">
        <f>$C$35*0.00035*((IF(C$37&gt;B78,0,$C$34-C$37)))*(F78-1)/F78</f>
        <v>1.5647727272727272</v>
      </c>
      <c r="H78" s="46">
        <f>($C$38/2-$C$39)/24/365</f>
        <v>0.11415525114155251</v>
      </c>
      <c r="I78" s="46">
        <f>1/(1-((273+$B78)/(273+$C$36+20)))/2</f>
        <v>4.2051282051282053</v>
      </c>
      <c r="J78" s="26">
        <f>IF(E78-G78-H78&gt;0,E78-G78-H78,0)</f>
        <v>0</v>
      </c>
      <c r="K78" s="27">
        <f>B78</f>
        <v>16</v>
      </c>
      <c r="L78" s="23">
        <f>IF($C$32*$C$33*($C$34-$K78)/1000+L$38*0.00035*($C$34-$K78)-($C$38/2-$C$39)/24/365&gt;0,$C$32*$C$33*($C$34-$K78)/1000+L$38*0.00035*($C$34-$K78)-($C$38/2-$C$39)/24/365,0)</f>
        <v>0.5758447488584475</v>
      </c>
      <c r="M78" s="23">
        <f>IF($C$32*$C$33*($C$34-$K78)/1000+M$38*0.00035*($C$34-$K78)-M$38*0.00035*((IF($C$37&gt;$K78,0,$C$34-$C$37)))*((1/(1-((273+$C$37)/(273+$C$36)))/2)-1)/(1/(1-((273+$C$37)/(273+$C$36)))/2)-($C$38/2-$C$39)/24/365&gt;0,$C$32*$C$33*($C$34-$K78)/1000+M$38*0.00035*($C$34-$K78)-M$38*0.00035*((IF($C$37&gt;$K78,0,$C$34-$C$37)))*((1/(1-((273+$C$37)/(273+$C$36)))/2)-1)/(1/(1-((273+$C$37)/(273+$C$36)))/2)-($C$38/2-$C$39)/24/365,0)</f>
        <v>0.36584474885844748</v>
      </c>
      <c r="N78" s="23">
        <f>IF($C$32*$C$33*($C$34-$K78)/1000+N$38*0.00035*($C$34-$K78)-N$38*0.00035*((IF($C$37&gt;$K78,0,$C$34-$C$37)))*((1/(1-((273+$C$37)/(273+$C$36)))/2)-1)/(1/(1-((273+$C$37)/(273+$C$36)))/2)-($C$38/2-$C$39)/24/365&gt;0,$C$32*$C$33*($C$34-$K78)/1000+N$38*0.00035*($C$34-$K78)-N$38*0.00035*((IF($C$37&gt;$K78,0,$C$34-$C$37)))*((1/(1-((273+$C$37)/(273+$C$36)))/2)-1)/(1/(1-((273+$C$37)/(273+$C$36)))/2)-($C$38/2-$C$39)/24/365,0)</f>
        <v>3.0162930676629229E-2</v>
      </c>
      <c r="O78" s="23">
        <f>IF($C$32*$C$33*($C$34-$K78)/1000+O$38*0.00035*($C$34-$K78)-O$38*0.00035*((IF($C$37&gt;$K78,0,$C$34-$C$37)))*((1/(1-((273+$C$37)/(273+$C$36)))/2)-1)/(1/(1-((273+$C$37)/(273+$C$36)))/2)-($C$38/2-$C$39)/24/365&gt;0,$C$32*$C$33*($C$34-$K78)/1000+O$38*0.00035*($C$34-$K78)-O$38*0.00035*((IF($C$37&gt;$K78,0,$C$34-$C$37)))*((1/(1-((273+$C$37)/(273+$C$36)))/2)-1)/(1/(1-((273+$C$37)/(273+$C$36)))/2)-($C$38/2-$C$39)/24/365,0)</f>
        <v>0</v>
      </c>
      <c r="P78" s="23">
        <f>IF($C$32*$C$33*($C$34-$K78)/1000+P$38*0.00035*($C$34-$K78)-P$38*0.00035*((IF($C$37&gt;$K78,0,$C$34-$C$37)))*((1/(1-((273+$C$37)/(273+$C$36)))/2)-1)/(1/(1-((273+$C$37)/(273+$C$36)))/2)-($C$38/2-$C$39)/24/365&gt;0,$C$32*$C$33*($C$34-$K78)/1000+P$38*0.00035*($C$34-$K78)-P$38*0.00035*((IF($C$37&gt;$K78,0,$C$34-$C$37)))*((1/(1-((273+$C$37)/(273+$C$36)))/2)-1)/(1/(1-((273+$C$37)/(273+$C$36)))/2)-($C$38/2-$C$39)/24/365,0)</f>
        <v>0</v>
      </c>
      <c r="Q78" s="23">
        <f>(IF($C$32*$C$33*($C$34-$K78)/1000+Q$38*0.00035*($C$34-$K78)-Q$38*0.00035*((IF($C$37&gt;$K78,0,$C$34-$C$37)))*((1/(1-((273+$C$37)/(273+$C$36)))/2)-1)/(1/(1-((273+$C$37)/(273+$C$36)))/2)-($C$38/2-$C$39)/24/365&gt;0,$C$32*$C$33*($C$34-$K78)/1000+Q$38*0.00035*($C$34-$K78)-Q$38*0.00035*((IF($C$37&gt;$K78,0,$C$34-$C$37)))*((1/(1-((273+$C$37)/(273+$C$36)))/2)-1)/(1/(1-((273+$C$37)/(273+$C$36)))/2)-($C$38/2-$C$39)/24/365,0))/(1/(1-((273+$B78)/(273+$C$36+15)))/2)</f>
        <v>0</v>
      </c>
      <c r="R78" s="23"/>
    </row>
    <row r="79" spans="2:18" x14ac:dyDescent="0.35">
      <c r="B79" s="6">
        <v>17</v>
      </c>
      <c r="C79" s="45">
        <f>$C$32*$C$33*($C$34-B79)/1000</f>
        <v>0.36</v>
      </c>
      <c r="D79" s="45">
        <f>$C$35*0.00035*($C$34-B79)</f>
        <v>0.1575</v>
      </c>
      <c r="E79" s="8">
        <f t="shared" si="2"/>
        <v>0.51749999999999996</v>
      </c>
      <c r="F79" s="45">
        <f>1/(1-((273+$B79)/(273+$C$36)))/2</f>
        <v>8.5555555555555607</v>
      </c>
      <c r="G79" s="8">
        <f>$C$35*0.00035*((IF(C$37&gt;B79,0,$C$34-C$37)))*(F79-1)/F79</f>
        <v>1.5763636363636364</v>
      </c>
      <c r="H79" s="46">
        <f>($C$38/2-$C$39)/24/365</f>
        <v>0.11415525114155251</v>
      </c>
      <c r="I79" s="46">
        <f>1/(1-((273+$B79)/(273+$C$36+20)))/2</f>
        <v>4.3157894736842106</v>
      </c>
      <c r="J79" s="26">
        <f>IF(E79-G79-H79&gt;0,E79-G79-H79,0)</f>
        <v>0</v>
      </c>
      <c r="K79" s="27">
        <f>B79</f>
        <v>17</v>
      </c>
      <c r="L79" s="23">
        <f>IF($C$32*$C$33*($C$34-$K79)/1000+L$38*0.00035*($C$34-$K79)-($C$38/2-$C$39)/24/365&gt;0,$C$32*$C$33*($C$34-$K79)/1000+L$38*0.00035*($C$34-$K79)-($C$38/2-$C$39)/24/365,0)</f>
        <v>0.40334474885844745</v>
      </c>
      <c r="M79" s="23">
        <f>IF($C$32*$C$33*($C$34-$K79)/1000+M$38*0.00035*($C$34-$K79)-M$38*0.00035*((IF($C$37&gt;$K79,0,$C$34-$C$37)))*((1/(1-((273+$C$37)/(273+$C$36)))/2)-1)/(1/(1-((273+$C$37)/(273+$C$36)))/2)-($C$38/2-$C$39)/24/365&gt;0,$C$32*$C$33*($C$34-$K79)/1000+M$38*0.00035*($C$34-$K79)-M$38*0.00035*((IF($C$37&gt;$K79,0,$C$34-$C$37)))*((1/(1-((273+$C$37)/(273+$C$36)))/2)-1)/(1/(1-((273+$C$37)/(273+$C$36)))/2)-($C$38/2-$C$39)/24/365,0)</f>
        <v>0.24584474885844748</v>
      </c>
      <c r="N79" s="23">
        <f>IF($C$32*$C$33*($C$34-$K79)/1000+N$38*0.00035*($C$34-$K79)-N$38*0.00035*((IF($C$37&gt;$K79,0,$C$34-$C$37)))*((1/(1-((273+$C$37)/(273+$C$36)))/2)-1)/(1/(1-((273+$C$37)/(273+$C$36)))/2)-($C$38/2-$C$39)/24/365&gt;0,$C$32*$C$33*($C$34-$K79)/1000+N$38*0.00035*($C$34-$K79)-N$38*0.00035*((IF($C$37&gt;$K79,0,$C$34-$C$37)))*((1/(1-((273+$C$37)/(273+$C$36)))/2)-1)/(1/(1-((273+$C$37)/(273+$C$36)))/2)-($C$38/2-$C$39)/24/365,0)</f>
        <v>0</v>
      </c>
      <c r="O79" s="23">
        <f>IF($C$32*$C$33*($C$34-$K79)/1000+O$38*0.00035*($C$34-$K79)-O$38*0.00035*((IF($C$37&gt;$K79,0,$C$34-$C$37)))*((1/(1-((273+$C$37)/(273+$C$36)))/2)-1)/(1/(1-((273+$C$37)/(273+$C$36)))/2)-($C$38/2-$C$39)/24/365&gt;0,$C$32*$C$33*($C$34-$K79)/1000+O$38*0.00035*($C$34-$K79)-O$38*0.00035*((IF($C$37&gt;$K79,0,$C$34-$C$37)))*((1/(1-((273+$C$37)/(273+$C$36)))/2)-1)/(1/(1-((273+$C$37)/(273+$C$36)))/2)-($C$38/2-$C$39)/24/365,0)</f>
        <v>0</v>
      </c>
      <c r="P79" s="23">
        <f>IF($C$32*$C$33*($C$34-$K79)/1000+P$38*0.00035*($C$34-$K79)-P$38*0.00035*((IF($C$37&gt;$K79,0,$C$34-$C$37)))*((1/(1-((273+$C$37)/(273+$C$36)))/2)-1)/(1/(1-((273+$C$37)/(273+$C$36)))/2)-($C$38/2-$C$39)/24/365&gt;0,$C$32*$C$33*($C$34-$K79)/1000+P$38*0.00035*($C$34-$K79)-P$38*0.00035*((IF($C$37&gt;$K79,0,$C$34-$C$37)))*((1/(1-((273+$C$37)/(273+$C$36)))/2)-1)/(1/(1-((273+$C$37)/(273+$C$36)))/2)-($C$38/2-$C$39)/24/365,0)</f>
        <v>0</v>
      </c>
      <c r="Q79" s="23">
        <f>(IF($C$32*$C$33*($C$34-$K79)/1000+Q$38*0.00035*($C$34-$K79)-Q$38*0.00035*((IF($C$37&gt;$K79,0,$C$34-$C$37)))*((1/(1-((273+$C$37)/(273+$C$36)))/2)-1)/(1/(1-((273+$C$37)/(273+$C$36)))/2)-($C$38/2-$C$39)/24/365&gt;0,$C$32*$C$33*($C$34-$K79)/1000+Q$38*0.00035*($C$34-$K79)-Q$38*0.00035*((IF($C$37&gt;$K79,0,$C$34-$C$37)))*((1/(1-((273+$C$37)/(273+$C$36)))/2)-1)/(1/(1-((273+$C$37)/(273+$C$36)))/2)-($C$38/2-$C$39)/24/365,0))/(1/(1-((273+$B79)/(273+$C$36+15)))/2)</f>
        <v>0</v>
      </c>
      <c r="R79" s="23"/>
    </row>
    <row r="80" spans="2:18" x14ac:dyDescent="0.35">
      <c r="B80" s="6">
        <v>18</v>
      </c>
      <c r="C80" s="45">
        <f>$C$32*$C$33*($C$34-B80)/1000</f>
        <v>0.24</v>
      </c>
      <c r="D80" s="45">
        <f>$C$35*0.00035*($C$34-B80)</f>
        <v>0.105</v>
      </c>
      <c r="E80" s="8">
        <f t="shared" si="2"/>
        <v>0.34499999999999997</v>
      </c>
      <c r="F80" s="45">
        <f>1/(1-((273+$B80)/(273+$C$36)))/2</f>
        <v>9.0588235294117574</v>
      </c>
      <c r="G80" s="8">
        <f>$C$35*0.00035*((IF(C$37&gt;B80,0,$C$34-C$37)))*(F80-1)/F80</f>
        <v>1.5879545454545452</v>
      </c>
      <c r="H80" s="46">
        <f>($C$38/2-$C$39)/24/365</f>
        <v>0.11415525114155251</v>
      </c>
      <c r="I80" s="46">
        <f>1/(1-((273+$B80)/(273+$C$36+20)))/2</f>
        <v>4.4324324324324325</v>
      </c>
      <c r="J80" s="26">
        <f>IF(E80-G80-H80&gt;0,E80-G80-H80,0)</f>
        <v>0</v>
      </c>
      <c r="K80" s="27">
        <f>B80</f>
        <v>18</v>
      </c>
      <c r="L80" s="23">
        <f>IF($C$32*$C$33*($C$34-$K80)/1000+L$38*0.00035*($C$34-$K80)-($C$38/2-$C$39)/24/365&gt;0,$C$32*$C$33*($C$34-$K80)/1000+L$38*0.00035*($C$34-$K80)-($C$38/2-$C$39)/24/365,0)</f>
        <v>0.23084474885844747</v>
      </c>
      <c r="M80" s="23">
        <f>IF($C$32*$C$33*($C$34-$K80)/1000+M$38*0.00035*($C$34-$K80)-M$38*0.00035*((IF($C$37&gt;$K80,0,$C$34-$C$37)))*((1/(1-((273+$C$37)/(273+$C$36)))/2)-1)/(1/(1-((273+$C$37)/(273+$C$36)))/2)-($C$38/2-$C$39)/24/365&gt;0,$C$32*$C$33*($C$34-$K80)/1000+M$38*0.00035*($C$34-$K80)-M$38*0.00035*((IF($C$37&gt;$K80,0,$C$34-$C$37)))*((1/(1-((273+$C$37)/(273+$C$36)))/2)-1)/(1/(1-((273+$C$37)/(273+$C$36)))/2)-($C$38/2-$C$39)/24/365,0)</f>
        <v>0.12584474885844749</v>
      </c>
      <c r="N80" s="23">
        <f>IF($C$32*$C$33*($C$34-$K80)/1000+N$38*0.00035*($C$34-$K80)-N$38*0.00035*((IF($C$37&gt;$K80,0,$C$34-$C$37)))*((1/(1-((273+$C$37)/(273+$C$36)))/2)-1)/(1/(1-((273+$C$37)/(273+$C$36)))/2)-($C$38/2-$C$39)/24/365&gt;0,$C$32*$C$33*($C$34-$K80)/1000+N$38*0.00035*($C$34-$K80)-N$38*0.00035*((IF($C$37&gt;$K80,0,$C$34-$C$37)))*((1/(1-((273+$C$37)/(273+$C$36)))/2)-1)/(1/(1-((273+$C$37)/(273+$C$36)))/2)-($C$38/2-$C$39)/24/365,0)</f>
        <v>0</v>
      </c>
      <c r="O80" s="23">
        <f>IF($C$32*$C$33*($C$34-$K80)/1000+O$38*0.00035*($C$34-$K80)-O$38*0.00035*((IF($C$37&gt;$K80,0,$C$34-$C$37)))*((1/(1-((273+$C$37)/(273+$C$36)))/2)-1)/(1/(1-((273+$C$37)/(273+$C$36)))/2)-($C$38/2-$C$39)/24/365&gt;0,$C$32*$C$33*($C$34-$K80)/1000+O$38*0.00035*($C$34-$K80)-O$38*0.00035*((IF($C$37&gt;$K80,0,$C$34-$C$37)))*((1/(1-((273+$C$37)/(273+$C$36)))/2)-1)/(1/(1-((273+$C$37)/(273+$C$36)))/2)-($C$38/2-$C$39)/24/365,0)</f>
        <v>0</v>
      </c>
      <c r="P80" s="23">
        <f>IF($C$32*$C$33*($C$34-$K80)/1000+P$38*0.00035*($C$34-$K80)-P$38*0.00035*((IF($C$37&gt;$K80,0,$C$34-$C$37)))*((1/(1-((273+$C$37)/(273+$C$36)))/2)-1)/(1/(1-((273+$C$37)/(273+$C$36)))/2)-($C$38/2-$C$39)/24/365&gt;0,$C$32*$C$33*($C$34-$K80)/1000+P$38*0.00035*($C$34-$K80)-P$38*0.00035*((IF($C$37&gt;$K80,0,$C$34-$C$37)))*((1/(1-((273+$C$37)/(273+$C$36)))/2)-1)/(1/(1-((273+$C$37)/(273+$C$36)))/2)-($C$38/2-$C$39)/24/365,0)</f>
        <v>0</v>
      </c>
      <c r="Q80" s="23">
        <f>(IF($C$32*$C$33*($C$34-$K80)/1000+Q$38*0.00035*($C$34-$K80)-Q$38*0.00035*((IF($C$37&gt;$K80,0,$C$34-$C$37)))*((1/(1-((273+$C$37)/(273+$C$36)))/2)-1)/(1/(1-((273+$C$37)/(273+$C$36)))/2)-($C$38/2-$C$39)/24/365&gt;0,$C$32*$C$33*($C$34-$K80)/1000+Q$38*0.00035*($C$34-$K80)-Q$38*0.00035*((IF($C$37&gt;$K80,0,$C$34-$C$37)))*((1/(1-((273+$C$37)/(273+$C$36)))/2)-1)/(1/(1-((273+$C$37)/(273+$C$36)))/2)-($C$38/2-$C$39)/24/365,0))/(1/(1-((273+$B80)/(273+$C$36+15)))/2)</f>
        <v>0</v>
      </c>
      <c r="R80" s="23"/>
    </row>
    <row r="81" spans="2:18" x14ac:dyDescent="0.35">
      <c r="B81" s="6">
        <v>19</v>
      </c>
      <c r="C81" s="45">
        <f>$C$32*$C$33*($C$34-B81)/1000</f>
        <v>0.12</v>
      </c>
      <c r="D81" s="45">
        <f>$C$35*0.00035*($C$34-B81)</f>
        <v>5.2499999999999998E-2</v>
      </c>
      <c r="E81" s="8">
        <f t="shared" si="2"/>
        <v>0.17249999999999999</v>
      </c>
      <c r="F81" s="45">
        <f>1/(1-((273+$B81)/(273+$C$36)))/2</f>
        <v>9.6249999999999964</v>
      </c>
      <c r="G81" s="8">
        <f>$C$35*0.00035*((IF(C$37&gt;B81,0,$C$34-C$37)))*(F81-1)/F81</f>
        <v>1.5995454545454544</v>
      </c>
      <c r="H81" s="46">
        <f>($C$38/2-$C$39)/24/365</f>
        <v>0.11415525114155251</v>
      </c>
      <c r="I81" s="46">
        <f>1/(1-((273+$B81)/(273+$C$36+20)))/2</f>
        <v>4.5555555555555562</v>
      </c>
      <c r="J81" s="26">
        <f>IF(E81-G81-H81&gt;0,E81-G81-H81,0)</f>
        <v>0</v>
      </c>
      <c r="K81" s="27">
        <f>B81</f>
        <v>19</v>
      </c>
      <c r="L81" s="23">
        <f>IF($C$32*$C$33*($C$34-$K81)/1000+L$38*0.00035*($C$34-$K81)-($C$38/2-$C$39)/24/365&gt;0,$C$32*$C$33*($C$34-$K81)/1000+L$38*0.00035*($C$34-$K81)-($C$38/2-$C$39)/24/365,0)</f>
        <v>5.8344748858447482E-2</v>
      </c>
      <c r="M81" s="23">
        <f>IF($C$32*$C$33*($C$34-$K81)/1000+M$38*0.00035*($C$34-$K81)-M$38*0.00035*((IF($C$37&gt;$K81,0,$C$34-$C$37)))*((1/(1-((273+$C$37)/(273+$C$36)))/2)-1)/(1/(1-((273+$C$37)/(273+$C$36)))/2)-($C$38/2-$C$39)/24/365&gt;0,$C$32*$C$33*($C$34-$K81)/1000+M$38*0.00035*($C$34-$K81)-M$38*0.00035*((IF($C$37&gt;$K81,0,$C$34-$C$37)))*((1/(1-((273+$C$37)/(273+$C$36)))/2)-1)/(1/(1-((273+$C$37)/(273+$C$36)))/2)-($C$38/2-$C$39)/24/365,0)</f>
        <v>5.8447488584474905E-3</v>
      </c>
      <c r="N81" s="23">
        <f>IF($C$32*$C$33*($C$34-$K81)/1000+N$38*0.00035*($C$34-$K81)-N$38*0.00035*((IF($C$37&gt;$K81,0,$C$34-$C$37)))*((1/(1-((273+$C$37)/(273+$C$36)))/2)-1)/(1/(1-((273+$C$37)/(273+$C$36)))/2)-($C$38/2-$C$39)/24/365&gt;0,$C$32*$C$33*($C$34-$K81)/1000+N$38*0.00035*($C$34-$K81)-N$38*0.00035*((IF($C$37&gt;$K81,0,$C$34-$C$37)))*((1/(1-((273+$C$37)/(273+$C$36)))/2)-1)/(1/(1-((273+$C$37)/(273+$C$36)))/2)-($C$38/2-$C$39)/24/365,0)</f>
        <v>0</v>
      </c>
      <c r="O81" s="23">
        <f>IF($C$32*$C$33*($C$34-$K81)/1000+O$38*0.00035*($C$34-$K81)-O$38*0.00035*((IF($C$37&gt;$K81,0,$C$34-$C$37)))*((1/(1-((273+$C$37)/(273+$C$36)))/2)-1)/(1/(1-((273+$C$37)/(273+$C$36)))/2)-($C$38/2-$C$39)/24/365&gt;0,$C$32*$C$33*($C$34-$K81)/1000+O$38*0.00035*($C$34-$K81)-O$38*0.00035*((IF($C$37&gt;$K81,0,$C$34-$C$37)))*((1/(1-((273+$C$37)/(273+$C$36)))/2)-1)/(1/(1-((273+$C$37)/(273+$C$36)))/2)-($C$38/2-$C$39)/24/365,0)</f>
        <v>0</v>
      </c>
      <c r="P81" s="23">
        <f>IF($C$32*$C$33*($C$34-$K81)/1000+P$38*0.00035*($C$34-$K81)-P$38*0.00035*((IF($C$37&gt;$K81,0,$C$34-$C$37)))*((1/(1-((273+$C$37)/(273+$C$36)))/2)-1)/(1/(1-((273+$C$37)/(273+$C$36)))/2)-($C$38/2-$C$39)/24/365&gt;0,$C$32*$C$33*($C$34-$K81)/1000+P$38*0.00035*($C$34-$K81)-P$38*0.00035*((IF($C$37&gt;$K81,0,$C$34-$C$37)))*((1/(1-((273+$C$37)/(273+$C$36)))/2)-1)/(1/(1-((273+$C$37)/(273+$C$36)))/2)-($C$38/2-$C$39)/24/365,0)</f>
        <v>0</v>
      </c>
      <c r="Q81" s="23">
        <f>(IF($C$32*$C$33*($C$34-$K81)/1000+Q$38*0.00035*($C$34-$K81)-Q$38*0.00035*((IF($C$37&gt;$K81,0,$C$34-$C$37)))*((1/(1-((273+$C$37)/(273+$C$36)))/2)-1)/(1/(1-((273+$C$37)/(273+$C$36)))/2)-($C$38/2-$C$39)/24/365&gt;0,$C$32*$C$33*($C$34-$K81)/1000+Q$38*0.00035*($C$34-$K81)-Q$38*0.00035*((IF($C$37&gt;$K81,0,$C$34-$C$37)))*((1/(1-((273+$C$37)/(273+$C$36)))/2)-1)/(1/(1-((273+$C$37)/(273+$C$36)))/2)-($C$38/2-$C$39)/24/365,0))/(1/(1-((273+$B81)/(273+$C$36+15)))/2)</f>
        <v>0</v>
      </c>
      <c r="R81" s="23"/>
    </row>
    <row r="82" spans="2:18" x14ac:dyDescent="0.35">
      <c r="B82" s="6">
        <v>20</v>
      </c>
      <c r="C82" s="45">
        <f>$C$32*$C$33*($C$34-B82)/1000</f>
        <v>0</v>
      </c>
      <c r="D82" s="45">
        <f>$C$35*0.00035*($C$34-B82)</f>
        <v>0</v>
      </c>
      <c r="E82" s="8">
        <f t="shared" si="2"/>
        <v>0</v>
      </c>
      <c r="F82" s="45">
        <f>1/(1-((273+$B82)/(273+$C$36)))/2</f>
        <v>10.266666666666669</v>
      </c>
      <c r="G82" s="8">
        <f>$C$35*0.00035*((IF(C$37&gt;B82,0,$C$34-C$37)))*(F82-1)/F82</f>
        <v>1.6111363636363636</v>
      </c>
      <c r="H82" s="46">
        <f>($C$38/2-$C$39)/24/365</f>
        <v>0.11415525114155251</v>
      </c>
      <c r="I82" s="46">
        <f>1/(1-((273+$B82)/(273+$C$36+20)))/2</f>
        <v>4.6857142857142868</v>
      </c>
      <c r="J82" s="26">
        <f>IF(E82-G82-H82&gt;0,E82-G82-H82,0)</f>
        <v>0</v>
      </c>
      <c r="K82" s="27">
        <f>B82</f>
        <v>20</v>
      </c>
      <c r="L82" s="23">
        <f>IF($C$32*$C$33*($C$34-$K82)/1000+L$38*0.00035*($C$34-$K82)-($C$38/2-$C$39)/24/365&gt;0,$C$32*$C$33*($C$34-$K82)/1000+L$38*0.00035*($C$34-$K82)-($C$38/2-$C$39)/24/365,0)</f>
        <v>0</v>
      </c>
      <c r="M82" s="23">
        <f>IF($C$32*$C$33*($C$34-$K82)/1000+M$38*0.00035*($C$34-$K82)-M$38*0.00035*((IF($C$37&gt;$K82,0,$C$34-$C$37)))*((1/(1-((273+$C$37)/(273+$C$36)))/2)-1)/(1/(1-((273+$C$37)/(273+$C$36)))/2)-($C$38/2-$C$39)/24/365&gt;0,$C$32*$C$33*($C$34-$K82)/1000+M$38*0.00035*($C$34-$K82)-M$38*0.00035*((IF($C$37&gt;$K82,0,$C$34-$C$37)))*((1/(1-((273+$C$37)/(273+$C$36)))/2)-1)/(1/(1-((273+$C$37)/(273+$C$36)))/2)-($C$38/2-$C$39)/24/365,0)</f>
        <v>0</v>
      </c>
      <c r="N82" s="23">
        <f>IF($C$32*$C$33*($C$34-$K82)/1000+N$38*0.00035*($C$34-$K82)-N$38*0.00035*((IF($C$37&gt;$K82,0,$C$34-$C$37)))*((1/(1-((273+$C$37)/(273+$C$36)))/2)-1)/(1/(1-((273+$C$37)/(273+$C$36)))/2)-($C$38/2-$C$39)/24/365&gt;0,$C$32*$C$33*($C$34-$K82)/1000+N$38*0.00035*($C$34-$K82)-N$38*0.00035*((IF($C$37&gt;$K82,0,$C$34-$C$37)))*((1/(1-((273+$C$37)/(273+$C$36)))/2)-1)/(1/(1-((273+$C$37)/(273+$C$36)))/2)-($C$38/2-$C$39)/24/365,0)</f>
        <v>0</v>
      </c>
      <c r="O82" s="23">
        <f>IF($C$32*$C$33*($C$34-$K82)/1000+O$38*0.00035*($C$34-$K82)-O$38*0.00035*((IF($C$37&gt;$K82,0,$C$34-$C$37)))*((1/(1-((273+$C$37)/(273+$C$36)))/2)-1)/(1/(1-((273+$C$37)/(273+$C$36)))/2)-($C$38/2-$C$39)/24/365&gt;0,$C$32*$C$33*($C$34-$K82)/1000+O$38*0.00035*($C$34-$K82)-O$38*0.00035*((IF($C$37&gt;$K82,0,$C$34-$C$37)))*((1/(1-((273+$C$37)/(273+$C$36)))/2)-1)/(1/(1-((273+$C$37)/(273+$C$36)))/2)-($C$38/2-$C$39)/24/365,0)</f>
        <v>0</v>
      </c>
      <c r="P82" s="23">
        <f>IF($C$32*$C$33*($C$34-$K82)/1000+P$38*0.00035*($C$34-$K82)-P$38*0.00035*((IF($C$37&gt;$K82,0,$C$34-$C$37)))*((1/(1-((273+$C$37)/(273+$C$36)))/2)-1)/(1/(1-((273+$C$37)/(273+$C$36)))/2)-($C$38/2-$C$39)/24/365&gt;0,$C$32*$C$33*($C$34-$K82)/1000+P$38*0.00035*($C$34-$K82)-P$38*0.00035*((IF($C$37&gt;$K82,0,$C$34-$C$37)))*((1/(1-((273+$C$37)/(273+$C$36)))/2)-1)/(1/(1-((273+$C$37)/(273+$C$36)))/2)-($C$38/2-$C$39)/24/365,0)</f>
        <v>0</v>
      </c>
      <c r="Q82" s="23">
        <f>(IF($C$32*$C$33*($C$34-$K82)/1000+Q$38*0.00035*($C$34-$K82)-Q$38*0.00035*((IF($C$37&gt;$K82,0,$C$34-$C$37)))*((1/(1-((273+$C$37)/(273+$C$36)))/2)-1)/(1/(1-((273+$C$37)/(273+$C$36)))/2)-($C$38/2-$C$39)/24/365&gt;0,$C$32*$C$33*($C$34-$K82)/1000+Q$38*0.00035*($C$34-$K82)-Q$38*0.00035*((IF($C$37&gt;$K82,0,$C$34-$C$37)))*((1/(1-((273+$C$37)/(273+$C$36)))/2)-1)/(1/(1-((273+$C$37)/(273+$C$36)))/2)-($C$38/2-$C$39)/24/365,0))/(1/(1-((273+$B82)/(273+$C$36+15)))/2)</f>
        <v>0</v>
      </c>
      <c r="R82" s="23"/>
    </row>
    <row r="83" spans="2:18" x14ac:dyDescent="0.35">
      <c r="J83"/>
      <c r="K83" s="11"/>
    </row>
  </sheetData>
  <hyperlinks>
    <hyperlink ref="R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Energiberäkning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</dc:creator>
  <cp:lastModifiedBy>surf</cp:lastModifiedBy>
  <dcterms:created xsi:type="dcterms:W3CDTF">2024-02-11T06:23:08Z</dcterms:created>
  <dcterms:modified xsi:type="dcterms:W3CDTF">2024-02-11T06:48:50Z</dcterms:modified>
</cp:coreProperties>
</file>