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Gemensamt\Bostad\Nedre Karlslundsvägen\Energi\"/>
    </mc:Choice>
  </mc:AlternateContent>
  <bookViews>
    <workbookView xWindow="0" yWindow="0" windowWidth="18700" windowHeight="7730"/>
  </bookViews>
  <sheets>
    <sheet name="Energiberäkning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4" i="2" l="1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43" i="2"/>
  <c r="L45" i="2" l="1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44" i="2"/>
  <c r="L43" i="2"/>
  <c r="P83" i="2"/>
  <c r="O83" i="2"/>
  <c r="N83" i="2"/>
  <c r="M83" i="2"/>
  <c r="P82" i="2"/>
  <c r="O82" i="2"/>
  <c r="N82" i="2"/>
  <c r="M82" i="2"/>
  <c r="P81" i="2"/>
  <c r="O81" i="2"/>
  <c r="N81" i="2"/>
  <c r="M81" i="2"/>
  <c r="P80" i="2"/>
  <c r="O80" i="2"/>
  <c r="N80" i="2"/>
  <c r="M80" i="2"/>
  <c r="P79" i="2"/>
  <c r="O79" i="2"/>
  <c r="N79" i="2"/>
  <c r="M79" i="2"/>
  <c r="P78" i="2"/>
  <c r="O78" i="2"/>
  <c r="N78" i="2"/>
  <c r="M78" i="2"/>
  <c r="P77" i="2"/>
  <c r="O77" i="2"/>
  <c r="N77" i="2"/>
  <c r="M77" i="2"/>
  <c r="P76" i="2"/>
  <c r="O76" i="2"/>
  <c r="N76" i="2"/>
  <c r="M76" i="2"/>
  <c r="P75" i="2"/>
  <c r="O75" i="2"/>
  <c r="N75" i="2"/>
  <c r="M75" i="2"/>
  <c r="P74" i="2"/>
  <c r="O74" i="2"/>
  <c r="N74" i="2"/>
  <c r="M74" i="2"/>
  <c r="P73" i="2"/>
  <c r="O73" i="2"/>
  <c r="N73" i="2"/>
  <c r="M73" i="2"/>
  <c r="P72" i="2"/>
  <c r="O72" i="2"/>
  <c r="N72" i="2"/>
  <c r="M72" i="2"/>
  <c r="P71" i="2"/>
  <c r="O71" i="2"/>
  <c r="N71" i="2"/>
  <c r="M71" i="2"/>
  <c r="P70" i="2"/>
  <c r="O70" i="2"/>
  <c r="N70" i="2"/>
  <c r="M70" i="2"/>
  <c r="P69" i="2"/>
  <c r="O69" i="2"/>
  <c r="N69" i="2"/>
  <c r="M69" i="2"/>
  <c r="P68" i="2"/>
  <c r="O68" i="2"/>
  <c r="N68" i="2"/>
  <c r="M68" i="2"/>
  <c r="P67" i="2"/>
  <c r="O67" i="2"/>
  <c r="N67" i="2"/>
  <c r="M67" i="2"/>
  <c r="P66" i="2"/>
  <c r="O66" i="2"/>
  <c r="N66" i="2"/>
  <c r="M66" i="2"/>
  <c r="P65" i="2"/>
  <c r="O65" i="2"/>
  <c r="N65" i="2"/>
  <c r="M65" i="2"/>
  <c r="P64" i="2"/>
  <c r="O64" i="2"/>
  <c r="N64" i="2"/>
  <c r="M64" i="2"/>
  <c r="P63" i="2"/>
  <c r="O63" i="2"/>
  <c r="N63" i="2"/>
  <c r="M63" i="2"/>
  <c r="P62" i="2"/>
  <c r="O62" i="2"/>
  <c r="N62" i="2"/>
  <c r="M62" i="2"/>
  <c r="P61" i="2"/>
  <c r="O61" i="2"/>
  <c r="N61" i="2"/>
  <c r="M61" i="2"/>
  <c r="P60" i="2"/>
  <c r="O60" i="2"/>
  <c r="N60" i="2"/>
  <c r="M60" i="2"/>
  <c r="P59" i="2"/>
  <c r="O59" i="2"/>
  <c r="N59" i="2"/>
  <c r="M59" i="2"/>
  <c r="P58" i="2"/>
  <c r="O58" i="2"/>
  <c r="N58" i="2"/>
  <c r="M58" i="2"/>
  <c r="P57" i="2"/>
  <c r="O57" i="2"/>
  <c r="N57" i="2"/>
  <c r="M57" i="2"/>
  <c r="P56" i="2"/>
  <c r="O56" i="2"/>
  <c r="N56" i="2"/>
  <c r="M56" i="2"/>
  <c r="P55" i="2"/>
  <c r="O55" i="2"/>
  <c r="N55" i="2"/>
  <c r="M55" i="2"/>
  <c r="P54" i="2"/>
  <c r="O54" i="2"/>
  <c r="N54" i="2"/>
  <c r="M54" i="2"/>
  <c r="P53" i="2"/>
  <c r="O53" i="2"/>
  <c r="N53" i="2"/>
  <c r="M53" i="2"/>
  <c r="P52" i="2"/>
  <c r="O52" i="2"/>
  <c r="N52" i="2"/>
  <c r="M52" i="2"/>
  <c r="P51" i="2"/>
  <c r="O51" i="2"/>
  <c r="N51" i="2"/>
  <c r="M51" i="2"/>
  <c r="P50" i="2"/>
  <c r="O50" i="2"/>
  <c r="N50" i="2"/>
  <c r="M50" i="2"/>
  <c r="P49" i="2"/>
  <c r="O49" i="2"/>
  <c r="N49" i="2"/>
  <c r="M49" i="2"/>
  <c r="P48" i="2"/>
  <c r="O48" i="2"/>
  <c r="N48" i="2"/>
  <c r="M48" i="2"/>
  <c r="P47" i="2"/>
  <c r="O47" i="2"/>
  <c r="N47" i="2"/>
  <c r="M47" i="2"/>
  <c r="P46" i="2"/>
  <c r="O46" i="2"/>
  <c r="N46" i="2"/>
  <c r="M46" i="2"/>
  <c r="P45" i="2"/>
  <c r="O45" i="2"/>
  <c r="N45" i="2"/>
  <c r="M45" i="2"/>
  <c r="P44" i="2"/>
  <c r="O44" i="2"/>
  <c r="N44" i="2"/>
  <c r="M44" i="2"/>
  <c r="P43" i="2"/>
  <c r="O43" i="2"/>
  <c r="N43" i="2"/>
  <c r="M43" i="2"/>
  <c r="D43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" i="2"/>
  <c r="L4" i="2"/>
  <c r="J4" i="2"/>
  <c r="G4" i="2"/>
  <c r="E4" i="2"/>
  <c r="M4" i="2"/>
  <c r="K4" i="2"/>
  <c r="I4" i="2"/>
  <c r="H4" i="2"/>
  <c r="F4" i="2"/>
  <c r="D4" i="2"/>
  <c r="B4" i="2"/>
  <c r="B5" i="2" s="1"/>
  <c r="E14" i="2"/>
  <c r="E13" i="2"/>
  <c r="E11" i="2" l="1"/>
  <c r="Y21" i="2"/>
  <c r="Y22" i="2"/>
  <c r="AC26" i="2"/>
  <c r="AB30" i="2"/>
  <c r="K83" i="2"/>
  <c r="I83" i="2"/>
  <c r="H83" i="2"/>
  <c r="F83" i="2"/>
  <c r="G83" i="2" s="1"/>
  <c r="D83" i="2"/>
  <c r="K82" i="2"/>
  <c r="I82" i="2"/>
  <c r="H82" i="2"/>
  <c r="F82" i="2"/>
  <c r="G82" i="2" s="1"/>
  <c r="D82" i="2"/>
  <c r="K81" i="2"/>
  <c r="I81" i="2"/>
  <c r="H81" i="2"/>
  <c r="F81" i="2"/>
  <c r="G81" i="2" s="1"/>
  <c r="D81" i="2"/>
  <c r="K80" i="2"/>
  <c r="I80" i="2"/>
  <c r="H80" i="2"/>
  <c r="F80" i="2"/>
  <c r="G80" i="2" s="1"/>
  <c r="D80" i="2"/>
  <c r="K79" i="2"/>
  <c r="I79" i="2"/>
  <c r="H79" i="2"/>
  <c r="F79" i="2"/>
  <c r="G79" i="2" s="1"/>
  <c r="D79" i="2"/>
  <c r="K78" i="2"/>
  <c r="I78" i="2"/>
  <c r="H78" i="2"/>
  <c r="F78" i="2"/>
  <c r="G78" i="2" s="1"/>
  <c r="D78" i="2"/>
  <c r="K77" i="2"/>
  <c r="I77" i="2"/>
  <c r="H77" i="2"/>
  <c r="F77" i="2"/>
  <c r="G77" i="2" s="1"/>
  <c r="D77" i="2"/>
  <c r="K76" i="2"/>
  <c r="I76" i="2"/>
  <c r="H76" i="2"/>
  <c r="F76" i="2"/>
  <c r="G76" i="2" s="1"/>
  <c r="D76" i="2"/>
  <c r="K75" i="2"/>
  <c r="I75" i="2"/>
  <c r="H75" i="2"/>
  <c r="F75" i="2"/>
  <c r="G75" i="2" s="1"/>
  <c r="D75" i="2"/>
  <c r="K74" i="2"/>
  <c r="I74" i="2"/>
  <c r="H74" i="2"/>
  <c r="F74" i="2"/>
  <c r="G74" i="2" s="1"/>
  <c r="D74" i="2"/>
  <c r="K73" i="2"/>
  <c r="I73" i="2"/>
  <c r="H73" i="2"/>
  <c r="F73" i="2"/>
  <c r="G73" i="2" s="1"/>
  <c r="D73" i="2"/>
  <c r="K72" i="2"/>
  <c r="I72" i="2"/>
  <c r="H72" i="2"/>
  <c r="F72" i="2"/>
  <c r="G72" i="2" s="1"/>
  <c r="D72" i="2"/>
  <c r="K71" i="2"/>
  <c r="I71" i="2"/>
  <c r="H71" i="2"/>
  <c r="F71" i="2"/>
  <c r="G71" i="2" s="1"/>
  <c r="D71" i="2"/>
  <c r="K70" i="2"/>
  <c r="I70" i="2"/>
  <c r="H70" i="2"/>
  <c r="F70" i="2"/>
  <c r="G70" i="2" s="1"/>
  <c r="D70" i="2"/>
  <c r="K69" i="2"/>
  <c r="I69" i="2"/>
  <c r="H69" i="2"/>
  <c r="F69" i="2"/>
  <c r="G69" i="2" s="1"/>
  <c r="D69" i="2"/>
  <c r="K68" i="2"/>
  <c r="I68" i="2"/>
  <c r="H68" i="2"/>
  <c r="F68" i="2"/>
  <c r="G68" i="2" s="1"/>
  <c r="D68" i="2"/>
  <c r="K67" i="2"/>
  <c r="I67" i="2"/>
  <c r="H67" i="2"/>
  <c r="F67" i="2"/>
  <c r="G67" i="2" s="1"/>
  <c r="D67" i="2"/>
  <c r="K66" i="2"/>
  <c r="I66" i="2"/>
  <c r="H66" i="2"/>
  <c r="F66" i="2"/>
  <c r="G66" i="2" s="1"/>
  <c r="D66" i="2"/>
  <c r="K65" i="2"/>
  <c r="I65" i="2"/>
  <c r="H65" i="2"/>
  <c r="F65" i="2"/>
  <c r="G65" i="2" s="1"/>
  <c r="D65" i="2"/>
  <c r="K64" i="2"/>
  <c r="I64" i="2"/>
  <c r="H64" i="2"/>
  <c r="F64" i="2"/>
  <c r="G64" i="2" s="1"/>
  <c r="D64" i="2"/>
  <c r="K63" i="2"/>
  <c r="I63" i="2"/>
  <c r="H63" i="2"/>
  <c r="F63" i="2"/>
  <c r="G63" i="2" s="1"/>
  <c r="D63" i="2"/>
  <c r="K62" i="2"/>
  <c r="I62" i="2"/>
  <c r="H62" i="2"/>
  <c r="F62" i="2"/>
  <c r="G62" i="2" s="1"/>
  <c r="D62" i="2"/>
  <c r="K61" i="2"/>
  <c r="I61" i="2"/>
  <c r="H61" i="2"/>
  <c r="F61" i="2"/>
  <c r="G61" i="2" s="1"/>
  <c r="D61" i="2"/>
  <c r="K60" i="2"/>
  <c r="I60" i="2"/>
  <c r="H60" i="2"/>
  <c r="F60" i="2"/>
  <c r="G60" i="2" s="1"/>
  <c r="D60" i="2"/>
  <c r="K59" i="2"/>
  <c r="I59" i="2"/>
  <c r="H59" i="2"/>
  <c r="F59" i="2"/>
  <c r="G59" i="2" s="1"/>
  <c r="D59" i="2"/>
  <c r="K58" i="2"/>
  <c r="I58" i="2"/>
  <c r="H58" i="2"/>
  <c r="F58" i="2"/>
  <c r="G58" i="2" s="1"/>
  <c r="D58" i="2"/>
  <c r="K57" i="2"/>
  <c r="I57" i="2"/>
  <c r="H57" i="2"/>
  <c r="F57" i="2"/>
  <c r="G57" i="2" s="1"/>
  <c r="D57" i="2"/>
  <c r="K56" i="2"/>
  <c r="I56" i="2"/>
  <c r="H56" i="2"/>
  <c r="F56" i="2"/>
  <c r="G56" i="2" s="1"/>
  <c r="D56" i="2"/>
  <c r="K55" i="2"/>
  <c r="I55" i="2"/>
  <c r="H55" i="2"/>
  <c r="F55" i="2"/>
  <c r="G55" i="2" s="1"/>
  <c r="D55" i="2"/>
  <c r="K54" i="2"/>
  <c r="I54" i="2"/>
  <c r="H54" i="2"/>
  <c r="F54" i="2"/>
  <c r="G54" i="2" s="1"/>
  <c r="D54" i="2"/>
  <c r="K53" i="2"/>
  <c r="I53" i="2"/>
  <c r="H53" i="2"/>
  <c r="F53" i="2"/>
  <c r="G53" i="2" s="1"/>
  <c r="D53" i="2"/>
  <c r="K52" i="2"/>
  <c r="I52" i="2"/>
  <c r="H52" i="2"/>
  <c r="F52" i="2"/>
  <c r="G52" i="2" s="1"/>
  <c r="D52" i="2"/>
  <c r="K51" i="2"/>
  <c r="I51" i="2"/>
  <c r="H51" i="2"/>
  <c r="F51" i="2"/>
  <c r="G51" i="2" s="1"/>
  <c r="D51" i="2"/>
  <c r="K50" i="2"/>
  <c r="I50" i="2"/>
  <c r="H50" i="2"/>
  <c r="F50" i="2"/>
  <c r="G50" i="2" s="1"/>
  <c r="D50" i="2"/>
  <c r="K49" i="2"/>
  <c r="I49" i="2"/>
  <c r="H49" i="2"/>
  <c r="F49" i="2"/>
  <c r="G49" i="2" s="1"/>
  <c r="D49" i="2"/>
  <c r="K48" i="2"/>
  <c r="I48" i="2"/>
  <c r="H48" i="2"/>
  <c r="F48" i="2"/>
  <c r="G48" i="2" s="1"/>
  <c r="D48" i="2"/>
  <c r="K47" i="2"/>
  <c r="I47" i="2"/>
  <c r="H47" i="2"/>
  <c r="F47" i="2"/>
  <c r="G47" i="2" s="1"/>
  <c r="D47" i="2"/>
  <c r="K46" i="2"/>
  <c r="I46" i="2"/>
  <c r="H46" i="2"/>
  <c r="F46" i="2"/>
  <c r="G46" i="2" s="1"/>
  <c r="D46" i="2"/>
  <c r="K45" i="2"/>
  <c r="I45" i="2"/>
  <c r="H45" i="2"/>
  <c r="F45" i="2"/>
  <c r="G45" i="2" s="1"/>
  <c r="D45" i="2"/>
  <c r="K44" i="2"/>
  <c r="I44" i="2"/>
  <c r="H44" i="2"/>
  <c r="F44" i="2"/>
  <c r="G44" i="2" s="1"/>
  <c r="D44" i="2"/>
  <c r="K43" i="2"/>
  <c r="I43" i="2"/>
  <c r="H43" i="2"/>
  <c r="F43" i="2"/>
  <c r="G43" i="2" s="1"/>
  <c r="K42" i="2"/>
  <c r="D5" i="2" l="1"/>
  <c r="L5" i="2"/>
  <c r="E5" i="2"/>
  <c r="I5" i="2"/>
  <c r="F5" i="2"/>
  <c r="J5" i="2"/>
  <c r="AC25" i="2"/>
  <c r="M5" i="2"/>
  <c r="H5" i="2"/>
  <c r="C5" i="2"/>
  <c r="G5" i="2"/>
  <c r="K5" i="2"/>
  <c r="E81" i="2"/>
  <c r="J81" i="2" s="1"/>
  <c r="E77" i="2"/>
  <c r="J77" i="2" s="1"/>
  <c r="E75" i="2"/>
  <c r="J75" i="2" s="1"/>
  <c r="K8" i="2"/>
  <c r="E71" i="2"/>
  <c r="J71" i="2" s="1"/>
  <c r="L8" i="2"/>
  <c r="D8" i="2"/>
  <c r="B6" i="2"/>
  <c r="B7" i="2" s="1"/>
  <c r="E64" i="2"/>
  <c r="J64" i="2" s="1"/>
  <c r="S62" i="2"/>
  <c r="E61" i="2"/>
  <c r="J61" i="2" s="1"/>
  <c r="E60" i="2"/>
  <c r="J60" i="2" s="1"/>
  <c r="E59" i="2"/>
  <c r="J59" i="2" s="1"/>
  <c r="E58" i="2"/>
  <c r="J58" i="2" s="1"/>
  <c r="E57" i="2"/>
  <c r="J57" i="2" s="1"/>
  <c r="E56" i="2"/>
  <c r="J56" i="2" s="1"/>
  <c r="E55" i="2"/>
  <c r="J55" i="2" s="1"/>
  <c r="E54" i="2"/>
  <c r="J54" i="2" s="1"/>
  <c r="E82" i="2"/>
  <c r="J82" i="2" s="1"/>
  <c r="G8" i="2"/>
  <c r="E83" i="2"/>
  <c r="J83" i="2" s="1"/>
  <c r="I8" i="2"/>
  <c r="E79" i="2"/>
  <c r="J79" i="2" s="1"/>
  <c r="J8" i="2"/>
  <c r="E73" i="2"/>
  <c r="J73" i="2" s="1"/>
  <c r="E69" i="2"/>
  <c r="J69" i="2" s="1"/>
  <c r="L6" i="2" s="1"/>
  <c r="L7" i="2" s="1"/>
  <c r="E67" i="2"/>
  <c r="J67" i="2" s="1"/>
  <c r="E66" i="2"/>
  <c r="J66" i="2" s="1"/>
  <c r="B8" i="2"/>
  <c r="E44" i="2"/>
  <c r="J44" i="2" s="1"/>
  <c r="E45" i="2"/>
  <c r="J45" i="2" s="1"/>
  <c r="E46" i="2"/>
  <c r="J46" i="2" s="1"/>
  <c r="E47" i="2"/>
  <c r="J47" i="2" s="1"/>
  <c r="E48" i="2"/>
  <c r="J48" i="2" s="1"/>
  <c r="E49" i="2"/>
  <c r="J49" i="2" s="1"/>
  <c r="E50" i="2"/>
  <c r="J50" i="2" s="1"/>
  <c r="S51" i="2"/>
  <c r="S52" i="2"/>
  <c r="E63" i="2"/>
  <c r="J63" i="2" s="1"/>
  <c r="E65" i="2"/>
  <c r="J65" i="2" s="1"/>
  <c r="C6" i="2" s="1"/>
  <c r="C7" i="2" s="1"/>
  <c r="E68" i="2"/>
  <c r="J68" i="2" s="1"/>
  <c r="E70" i="2"/>
  <c r="J70" i="2" s="1"/>
  <c r="H8" i="2"/>
  <c r="E43" i="2"/>
  <c r="J43" i="2" s="1"/>
  <c r="E51" i="2"/>
  <c r="J51" i="2" s="1"/>
  <c r="E52" i="2"/>
  <c r="J52" i="2" s="1"/>
  <c r="E53" i="2"/>
  <c r="J53" i="2" s="1"/>
  <c r="S54" i="2"/>
  <c r="S56" i="2"/>
  <c r="S58" i="2"/>
  <c r="S60" i="2"/>
  <c r="E62" i="2"/>
  <c r="J62" i="2" s="1"/>
  <c r="E72" i="2"/>
  <c r="J72" i="2" s="1"/>
  <c r="E76" i="2"/>
  <c r="J76" i="2" s="1"/>
  <c r="E78" i="2"/>
  <c r="J78" i="2" s="1"/>
  <c r="S53" i="2"/>
  <c r="E8" i="2"/>
  <c r="E80" i="2"/>
  <c r="J80" i="2" s="1"/>
  <c r="S44" i="2"/>
  <c r="S45" i="2"/>
  <c r="S46" i="2"/>
  <c r="S47" i="2"/>
  <c r="S48" i="2"/>
  <c r="S49" i="2"/>
  <c r="S50" i="2"/>
  <c r="S55" i="2"/>
  <c r="S57" i="2"/>
  <c r="S59" i="2"/>
  <c r="S61" i="2"/>
  <c r="E74" i="2"/>
  <c r="J74" i="2" s="1"/>
  <c r="F8" i="2"/>
  <c r="F6" i="2" l="1"/>
  <c r="F7" i="2" s="1"/>
  <c r="I6" i="2"/>
  <c r="I7" i="2" s="1"/>
  <c r="K6" i="2"/>
  <c r="K7" i="2" s="1"/>
  <c r="E6" i="2"/>
  <c r="E7" i="2" s="1"/>
  <c r="J6" i="2"/>
  <c r="J7" i="2" s="1"/>
  <c r="G6" i="2"/>
  <c r="G7" i="2" s="1"/>
  <c r="H6" i="2"/>
  <c r="H7" i="2" s="1"/>
  <c r="D6" i="2"/>
  <c r="D7" i="2" s="1"/>
  <c r="M6" i="2"/>
  <c r="M7" i="2" s="1"/>
  <c r="M8" i="2"/>
  <c r="C8" i="2"/>
</calcChain>
</file>

<file path=xl/sharedStrings.xml><?xml version="1.0" encoding="utf-8"?>
<sst xmlns="http://schemas.openxmlformats.org/spreadsheetml/2006/main" count="105" uniqueCount="89">
  <si>
    <t>Månad</t>
  </si>
  <si>
    <t>Jan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</si>
  <si>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</si>
  <si>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</si>
  <si>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</si>
  <si>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</si>
  <si>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</si>
  <si>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</si>
  <si>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</si>
  <si>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</si>
  <si>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</si>
  <si>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</si>
  <si>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</si>
  <si>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Medeltemperatur</t>
  </si>
  <si>
    <t>https://eltipsaren.se/sv/advice/andra-ventilationen-att-gora-franluftsvarmepumpen-mer-effektiv</t>
  </si>
  <si>
    <t>Effekt värme, baserat på nedan kalkyl</t>
  </si>
  <si>
    <t xml:space="preserve">E hushållsel </t>
  </si>
  <si>
    <t xml:space="preserve">(kWh/år) </t>
  </si>
  <si>
    <t>Aom, total</t>
  </si>
  <si>
    <t>Pud = Omslutningsarea * U_genomsnittligt * (T_inne - T_ute)</t>
  </si>
  <si>
    <t xml:space="preserve">E ut värmesystem </t>
  </si>
  <si>
    <t>Aom, skal</t>
  </si>
  <si>
    <t>m^3/h</t>
  </si>
  <si>
    <r>
      <rPr>
        <sz val="11"/>
        <color rgb="FFFF0000"/>
        <rFont val="Calibri"/>
        <family val="2"/>
        <scheme val="minor"/>
      </rPr>
      <t>Puv = L * (T_inne - T_ute)</t>
    </r>
    <r>
      <rPr>
        <sz val="11"/>
        <color theme="1"/>
        <rFont val="Calibri"/>
        <family val="2"/>
        <scheme val="minor"/>
      </rPr>
      <t xml:space="preserve"> + förlust i ventilationsrören</t>
    </r>
  </si>
  <si>
    <t xml:space="preserve">FEL? Värmen återvinns till större delen och så länge utetemp är lägre än avluften så är verkningsgraden större än ett. Eller, det är rätt beakt Ps nedan. </t>
  </si>
  <si>
    <t xml:space="preserve">E varmvattenanv. </t>
  </si>
  <si>
    <t>Abottenplatta</t>
  </si>
  <si>
    <t>L är luftflödet i m3/h</t>
  </si>
  <si>
    <t xml:space="preserve">E värmeläckage WB </t>
  </si>
  <si>
    <t>Um</t>
  </si>
  <si>
    <t xml:space="preserve">E el fläktar </t>
  </si>
  <si>
    <t>Husets uppvärmning kan modelleras enligt följande:</t>
  </si>
  <si>
    <t xml:space="preserve">E el cirk.pump, värmedistr. </t>
  </si>
  <si>
    <t>InneTemp</t>
  </si>
  <si>
    <t>uppvärmning är summan av tillförd effekt i form av el (P_in) och hur mycket som kan tas från frånluften (Ps) samt övriga värmekällor</t>
  </si>
  <si>
    <t xml:space="preserve">E el vp kompressor </t>
  </si>
  <si>
    <t>Pin = P_in_v + Ps + P_eltillsats + annat</t>
  </si>
  <si>
    <t xml:space="preserve">varav till värme </t>
  </si>
  <si>
    <t>Övriga värmekällor inkluderar spis, ugn med mera.</t>
  </si>
  <si>
    <t xml:space="preserve">E elpatron, tillskott </t>
  </si>
  <si>
    <t>Huset når värmebalans när Pu = Pin</t>
  </si>
  <si>
    <t>Exempel</t>
  </si>
  <si>
    <t>Omslutningsarea: 449 m2</t>
  </si>
  <si>
    <t>Genomsnittligt U:  0.218</t>
  </si>
  <si>
    <t>KWh/år</t>
  </si>
  <si>
    <t>Tempratur inne: 20 grader</t>
  </si>
  <si>
    <t>Pud = 0.098 * (20 - T_ute) kW</t>
  </si>
  <si>
    <t>Puv = L * 0.000365 * (20 - T_ute) kW</t>
  </si>
  <si>
    <t>Ps måste man mäta sig fram till som en funktion av Hz_kompressor</t>
  </si>
  <si>
    <t>L=</t>
  </si>
  <si>
    <t>Hz</t>
  </si>
  <si>
    <t>Ps</t>
  </si>
  <si>
    <t>0.81</t>
  </si>
  <si>
    <t>m^2</t>
  </si>
  <si>
    <t>0.98</t>
  </si>
  <si>
    <r>
      <t>U</t>
    </r>
    <r>
      <rPr>
        <sz val="8"/>
        <color theme="1"/>
        <rFont val="Calibri"/>
        <family val="2"/>
        <scheme val="minor"/>
      </rPr>
      <t>medel</t>
    </r>
  </si>
  <si>
    <t>w/K/m^2</t>
  </si>
  <si>
    <t>1.14</t>
  </si>
  <si>
    <r>
      <t>T</t>
    </r>
    <r>
      <rPr>
        <sz val="8"/>
        <color theme="1"/>
        <rFont val="Calibri"/>
        <family val="2"/>
        <scheme val="minor"/>
      </rPr>
      <t>_inne</t>
    </r>
  </si>
  <si>
    <t>Celcius</t>
  </si>
  <si>
    <t>Luftflöde</t>
  </si>
  <si>
    <r>
      <t>T</t>
    </r>
    <r>
      <rPr>
        <sz val="8"/>
        <color theme="1"/>
        <rFont val="Calibri"/>
        <family val="2"/>
        <scheme val="minor"/>
      </rPr>
      <t>frmaledn</t>
    </r>
  </si>
  <si>
    <t>Tavluft</t>
  </si>
  <si>
    <r>
      <t>P</t>
    </r>
    <r>
      <rPr>
        <sz val="8"/>
        <color theme="1"/>
        <rFont val="Calibri"/>
        <family val="2"/>
        <scheme val="minor"/>
      </rPr>
      <t>_hushållsel</t>
    </r>
  </si>
  <si>
    <r>
      <t>F</t>
    </r>
    <r>
      <rPr>
        <sz val="8"/>
        <color theme="1"/>
        <rFont val="Calibri"/>
        <family val="2"/>
        <scheme val="minor"/>
      </rPr>
      <t>örluster</t>
    </r>
  </si>
  <si>
    <r>
      <t>T</t>
    </r>
    <r>
      <rPr>
        <sz val="9"/>
        <color theme="1"/>
        <rFont val="Calibri"/>
        <family val="2"/>
        <scheme val="minor"/>
      </rPr>
      <t>_ute</t>
    </r>
  </si>
  <si>
    <r>
      <t xml:space="preserve">Pud </t>
    </r>
    <r>
      <rPr>
        <sz val="8"/>
        <color theme="1"/>
        <rFont val="Calibri"/>
        <family val="2"/>
        <scheme val="minor"/>
      </rPr>
      <t>(Area * U * (T_inne - T_ute)</t>
    </r>
  </si>
  <si>
    <r>
      <t xml:space="preserve">Puv </t>
    </r>
    <r>
      <rPr>
        <sz val="8"/>
        <color theme="1"/>
        <rFont val="Calibri"/>
        <family val="2"/>
        <scheme val="minor"/>
      </rPr>
      <t xml:space="preserve">( L * 0,00035 * (T_inne - T_ute) + vent förluster) </t>
    </r>
  </si>
  <si>
    <r>
      <t xml:space="preserve">Pu </t>
    </r>
    <r>
      <rPr>
        <sz val="8"/>
        <color theme="1"/>
        <rFont val="Calibri"/>
        <family val="2"/>
        <scheme val="minor"/>
      </rPr>
      <t xml:space="preserve">( Pud + Pud) </t>
    </r>
  </si>
  <si>
    <r>
      <t xml:space="preserve">COP FLVP </t>
    </r>
    <r>
      <rPr>
        <sz val="8"/>
        <color theme="1"/>
        <rFont val="Calibri"/>
        <family val="2"/>
        <scheme val="minor"/>
      </rPr>
      <t xml:space="preserve">(1/(1-((273+T_ute)/(273+T_inne)))/2) </t>
    </r>
  </si>
  <si>
    <r>
      <t xml:space="preserve">Ps </t>
    </r>
    <r>
      <rPr>
        <sz val="8"/>
        <color theme="1"/>
        <rFont val="Calibri"/>
        <family val="2"/>
        <scheme val="minor"/>
      </rPr>
      <t xml:space="preserve">( L * 0,00035 * (T_inne - T_ute * (COP-1)/COP </t>
    </r>
  </si>
  <si>
    <r>
      <t>P</t>
    </r>
    <r>
      <rPr>
        <sz val="8"/>
        <color theme="1"/>
        <rFont val="Calibri"/>
        <family val="2"/>
        <scheme val="minor"/>
      </rPr>
      <t>_hushållsel/2</t>
    </r>
    <r>
      <rPr>
        <sz val="11"/>
        <color theme="1"/>
        <rFont val="Calibri"/>
        <family val="2"/>
        <scheme val="minor"/>
      </rPr>
      <t>-Förluster</t>
    </r>
  </si>
  <si>
    <r>
      <t xml:space="preserve">COP LLVP </t>
    </r>
    <r>
      <rPr>
        <sz val="8"/>
        <color theme="1"/>
        <rFont val="Calibri"/>
        <family val="2"/>
        <scheme val="minor"/>
      </rPr>
      <t xml:space="preserve">(1/(1-((273+T_ute)/(273+T_inne)))/2) </t>
    </r>
  </si>
  <si>
    <r>
      <t>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(Pu-Ps-P_hushåll/2)</t>
    </r>
  </si>
  <si>
    <t>Ingen FLVP, 150m^3/h</t>
  </si>
  <si>
    <r>
      <t>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</si>
  <si>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</si>
  <si>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</si>
  <si>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250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</si>
  <si>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FLVP+</t>
    </r>
    <r>
      <rPr>
        <sz val="9"/>
        <color theme="1"/>
        <rFont val="Calibri"/>
        <family val="2"/>
        <scheme val="minor"/>
      </rPr>
      <t xml:space="preserve">LLVP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</si>
  <si>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P</t>
    </r>
    <r>
      <rPr>
        <sz val="9"/>
        <color theme="1"/>
        <rFont val="Calibri"/>
        <family val="2"/>
        <scheme val="minor"/>
      </rPr>
      <t xml:space="preserve">_LLVP + eldn </t>
    </r>
    <r>
      <rPr>
        <sz val="8"/>
        <color theme="1"/>
        <rFont val="Calibri"/>
        <family val="2"/>
        <scheme val="minor"/>
      </rPr>
      <t>(Pu-Ps-P_hushåll/2+Förluster)</t>
    </r>
  </si>
  <si>
    <t>Effektbehov värme (W)</t>
  </si>
  <si>
    <t>Energi värme (KWh/mån)</t>
  </si>
  <si>
    <r>
      <t>Uatot-</t>
    </r>
    <r>
      <rPr>
        <sz val="8"/>
        <color theme="1"/>
        <rFont val="Calibri"/>
        <family val="2"/>
        <scheme val="minor"/>
      </rPr>
      <t>mark</t>
    </r>
  </si>
  <si>
    <r>
      <t>Uatot</t>
    </r>
    <r>
      <rPr>
        <sz val="8"/>
        <color theme="1"/>
        <rFont val="Calibri"/>
        <family val="2"/>
        <scheme val="minor"/>
      </rPr>
      <t>-vägg-tak</t>
    </r>
  </si>
  <si>
    <t>Medeltemperatur under platta</t>
  </si>
  <si>
    <r>
      <t>T</t>
    </r>
    <r>
      <rPr>
        <sz val="8"/>
        <color theme="1"/>
        <rFont val="Calibri"/>
        <family val="2"/>
        <scheme val="minor"/>
      </rPr>
      <t>_bottenplatta</t>
    </r>
  </si>
  <si>
    <t>Energi värme, FLVP, 150m^3/h + LLVP</t>
  </si>
  <si>
    <t>Energi värme, FLVP, 150m^3/h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</si>
</sst>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Alignment="1">
      <alignment horizontal="center"/>
    </xf>
    <xf numFmtId="164" fontId="0" fillId="0" borderId="0" xfId="0" applyNumberFormat="1" applyAlignment="1">
      <alignment horizontal="center" vertical="center"/>
    </xf>
    <xf numFmtId="0" fontId="4" fillId="0" borderId="0" xfId="2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/>
    </xf>
    <xf numFmtId="0" fontId="2" fillId="0" borderId="0" xfId="0" applyFont="1"/>
    <xf numFmtId="164" fontId="0" fillId="0" borderId="0" xfId="0" applyNumberFormat="1" applyAlignment="1">
      <alignment horizontal="center"/>
    </xf>
    <xf numFmtId="0" fontId="7" fillId="0" borderId="0" xfId="0" applyFont="1"/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2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5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0" fillId="6" borderId="1" xfId="0" applyFill="1" applyBorder="1"/>
    <xf numFmtId="0" fontId="0" fillId="6" borderId="4" xfId="0" applyFill="1" applyBorder="1"/>
    <xf numFmtId="1" fontId="5" fillId="6" borderId="0" xfId="0" applyNumberFormat="1" applyFont="1" applyFill="1" applyBorder="1" applyAlignment="1">
      <alignment horizontal="center"/>
    </xf>
    <xf numFmtId="1" fontId="5" fillId="6" borderId="5" xfId="0" applyNumberFormat="1" applyFont="1" applyFill="1" applyBorder="1" applyAlignment="1">
      <alignment horizontal="center"/>
    </xf>
    <xf numFmtId="1" fontId="6" fillId="6" borderId="0" xfId="0" applyNumberFormat="1" applyFont="1" applyFill="1" applyBorder="1" applyAlignment="1">
      <alignment horizontal="center"/>
    </xf>
    <xf numFmtId="1" fontId="6" fillId="6" borderId="5" xfId="0" applyNumberFormat="1" applyFont="1" applyFill="1" applyBorder="1" applyAlignment="1">
      <alignment horizontal="center"/>
    </xf>
    <xf numFmtId="0" fontId="0" fillId="6" borderId="6" xfId="0" applyFill="1" applyBorder="1"/>
    <xf numFmtId="1" fontId="6" fillId="6" borderId="7" xfId="0" applyNumberFormat="1" applyFont="1" applyFill="1" applyBorder="1" applyAlignment="1">
      <alignment horizontal="center"/>
    </xf>
    <xf numFmtId="1" fontId="6" fillId="6" borderId="8" xfId="0" applyNumberFormat="1" applyFon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4" xfId="0" applyFill="1" applyBorder="1" applyAlignment="1">
      <alignment horizontal="right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 applyBorder="1" applyAlignment="1">
      <alignment horizontal="center"/>
    </xf>
    <xf numFmtId="0" fontId="0" fillId="6" borderId="0" xfId="0" applyFill="1" applyBorder="1"/>
    <xf numFmtId="0" fontId="0" fillId="7" borderId="5" xfId="0" applyFill="1" applyBorder="1" applyAlignment="1">
      <alignment horizontal="center"/>
    </xf>
    <xf numFmtId="0" fontId="0" fillId="6" borderId="0" xfId="0" applyFill="1" applyBorder="1" applyAlignment="1">
      <alignment horizontal="right"/>
    </xf>
  </cellXfs>
  <cellStyles count="3">
    <cellStyle name="Hyperlänk" xfId="2" builtinId="8"/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sv-SE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Energiförbrukning-tillskott FLVP vid olika ventliationsflöden och utetemperatur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Energiberäkning!$L$42</c:f>
              <c:strCache>
                <c:ptCount val="1"/>
                <c:pt idx="0">
                  <c:v>Ingen FLVP, 150m^3/h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Energiberäkning!$L$43:$L$83</c:f>
              <c:numCache>
                <c:formatCode>0.00</c:formatCode>
                <c:ptCount val="41"/>
                <c:pt idx="0">
                  <c:v>5.7946447488584472</c:v>
                </c:pt>
                <c:pt idx="1">
                  <c:v>5.6591447488584476</c:v>
                </c:pt>
                <c:pt idx="2">
                  <c:v>5.5236447488584473</c:v>
                </c:pt>
                <c:pt idx="3">
                  <c:v>5.3881447488584477</c:v>
                </c:pt>
                <c:pt idx="4">
                  <c:v>5.2526447488584473</c:v>
                </c:pt>
                <c:pt idx="5">
                  <c:v>5.1171447488584469</c:v>
                </c:pt>
                <c:pt idx="6">
                  <c:v>4.9816447488584474</c:v>
                </c:pt>
                <c:pt idx="7">
                  <c:v>4.8461447488584479</c:v>
                </c:pt>
                <c:pt idx="8">
                  <c:v>4.7106447488584475</c:v>
                </c:pt>
                <c:pt idx="9">
                  <c:v>4.5751447488584471</c:v>
                </c:pt>
                <c:pt idx="10">
                  <c:v>4.4396447488584476</c:v>
                </c:pt>
                <c:pt idx="11">
                  <c:v>4.3041447488584481</c:v>
                </c:pt>
                <c:pt idx="12">
                  <c:v>4.1686447488584477</c:v>
                </c:pt>
                <c:pt idx="13">
                  <c:v>4.0331447488584473</c:v>
                </c:pt>
                <c:pt idx="14">
                  <c:v>3.8976447488584474</c:v>
                </c:pt>
                <c:pt idx="15">
                  <c:v>3.7621447488584474</c:v>
                </c:pt>
                <c:pt idx="16">
                  <c:v>3.6266447488584475</c:v>
                </c:pt>
                <c:pt idx="17">
                  <c:v>3.4911447488584475</c:v>
                </c:pt>
                <c:pt idx="18">
                  <c:v>3.3556447488584475</c:v>
                </c:pt>
                <c:pt idx="19">
                  <c:v>3.2201447488584476</c:v>
                </c:pt>
                <c:pt idx="20">
                  <c:v>3.0846447488584476</c:v>
                </c:pt>
                <c:pt idx="21">
                  <c:v>2.9491447488584472</c:v>
                </c:pt>
                <c:pt idx="22">
                  <c:v>2.8136447488584473</c:v>
                </c:pt>
                <c:pt idx="23">
                  <c:v>2.6781447488584473</c:v>
                </c:pt>
                <c:pt idx="24">
                  <c:v>2.5426447488584474</c:v>
                </c:pt>
                <c:pt idx="25">
                  <c:v>2.4071447488584474</c:v>
                </c:pt>
                <c:pt idx="26">
                  <c:v>2.271644748858447</c:v>
                </c:pt>
                <c:pt idx="27">
                  <c:v>2.1361447488584475</c:v>
                </c:pt>
                <c:pt idx="28">
                  <c:v>2.0006447488584471</c:v>
                </c:pt>
                <c:pt idx="29">
                  <c:v>1.8651447488584478</c:v>
                </c:pt>
                <c:pt idx="30">
                  <c:v>1.7296447488584474</c:v>
                </c:pt>
                <c:pt idx="31">
                  <c:v>1.5941447488584475</c:v>
                </c:pt>
                <c:pt idx="32">
                  <c:v>1.4586447488584475</c:v>
                </c:pt>
                <c:pt idx="33">
                  <c:v>1.3231447488584474</c:v>
                </c:pt>
                <c:pt idx="34">
                  <c:v>1.1876447488584476</c:v>
                </c:pt>
                <c:pt idx="35">
                  <c:v>1.0521447488584474</c:v>
                </c:pt>
                <c:pt idx="36">
                  <c:v>0.91664474885844749</c:v>
                </c:pt>
                <c:pt idx="37">
                  <c:v>0.78114474885844754</c:v>
                </c:pt>
                <c:pt idx="38">
                  <c:v>0.64564474885844758</c:v>
                </c:pt>
                <c:pt idx="39">
                  <c:v>0.51014474885844741</c:v>
                </c:pt>
                <c:pt idx="40">
                  <c:v>0.37464474885844751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80-4A4D-B74F-CD74553F9E21}"/>
            </c:ext>
          </c:extLst>
        </c:ser>
        <c:ser>
          <c:idx val="1"/>
          <c:order val="1"/>
          <c:tx>
            <c:strRef>
              <c:f>Energiberäkning!$M$42</c:f>
              <c:strCache>
                <c:ptCount val="1"/>
                <c:pt idx="0">
                  <c:v>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Energiberäkning!$M$43:$M$83</c:f>
              <c:numCache>
                <c:formatCode>0.00</c:formatCode>
                <c:ptCount val="41"/>
                <c:pt idx="0">
                  <c:v>3.6946447488584471</c:v>
                </c:pt>
                <c:pt idx="1">
                  <c:v>3.6116447488584473</c:v>
                </c:pt>
                <c:pt idx="2">
                  <c:v>3.5286447488584471</c:v>
                </c:pt>
                <c:pt idx="3">
                  <c:v>3.4456447488584474</c:v>
                </c:pt>
                <c:pt idx="4">
                  <c:v>3.3626447488584472</c:v>
                </c:pt>
                <c:pt idx="5">
                  <c:v>3.279644748858447</c:v>
                </c:pt>
                <c:pt idx="6">
                  <c:v>3.1966447488584473</c:v>
                </c:pt>
                <c:pt idx="7">
                  <c:v>3.1136447488584471</c:v>
                </c:pt>
                <c:pt idx="8">
                  <c:v>3.0306447488584474</c:v>
                </c:pt>
                <c:pt idx="9">
                  <c:v>2.9476447488584472</c:v>
                </c:pt>
                <c:pt idx="10">
                  <c:v>2.8646447488584474</c:v>
                </c:pt>
                <c:pt idx="11">
                  <c:v>2.7816447488584473</c:v>
                </c:pt>
                <c:pt idx="12">
                  <c:v>2.6986447488584471</c:v>
                </c:pt>
                <c:pt idx="13">
                  <c:v>2.6156447488584473</c:v>
                </c:pt>
                <c:pt idx="14">
                  <c:v>2.5326447488584471</c:v>
                </c:pt>
                <c:pt idx="15">
                  <c:v>2.4496447488584474</c:v>
                </c:pt>
                <c:pt idx="16">
                  <c:v>2.3666447488584472</c:v>
                </c:pt>
                <c:pt idx="17">
                  <c:v>2.2836447488584475</c:v>
                </c:pt>
                <c:pt idx="18">
                  <c:v>2.2006447488584473</c:v>
                </c:pt>
                <c:pt idx="19">
                  <c:v>2.1176447488584476</c:v>
                </c:pt>
                <c:pt idx="20">
                  <c:v>2.0346447488584474</c:v>
                </c:pt>
                <c:pt idx="21">
                  <c:v>1.9516447488584474</c:v>
                </c:pt>
                <c:pt idx="22">
                  <c:v>1.8686447488584477</c:v>
                </c:pt>
                <c:pt idx="23">
                  <c:v>1.7856447488584475</c:v>
                </c:pt>
                <c:pt idx="24">
                  <c:v>1.7026447488584477</c:v>
                </c:pt>
                <c:pt idx="25">
                  <c:v>1.6196447488584476</c:v>
                </c:pt>
                <c:pt idx="26">
                  <c:v>1.5366447488584474</c:v>
                </c:pt>
                <c:pt idx="27">
                  <c:v>1.4536447488584476</c:v>
                </c:pt>
                <c:pt idx="28">
                  <c:v>1.3706447488584474</c:v>
                </c:pt>
                <c:pt idx="29">
                  <c:v>1.2876447488584477</c:v>
                </c:pt>
                <c:pt idx="30">
                  <c:v>1.2046447488584475</c:v>
                </c:pt>
                <c:pt idx="31">
                  <c:v>1.1216447488584476</c:v>
                </c:pt>
                <c:pt idx="32">
                  <c:v>1.0386447488584476</c:v>
                </c:pt>
                <c:pt idx="33">
                  <c:v>0.95564474885844741</c:v>
                </c:pt>
                <c:pt idx="34">
                  <c:v>0.87264474885844745</c:v>
                </c:pt>
                <c:pt idx="35">
                  <c:v>0.78964474885844749</c:v>
                </c:pt>
                <c:pt idx="36">
                  <c:v>0.70664474885844752</c:v>
                </c:pt>
                <c:pt idx="37">
                  <c:v>0.62364474885844756</c:v>
                </c:pt>
                <c:pt idx="38">
                  <c:v>0.5406447488584476</c:v>
                </c:pt>
                <c:pt idx="39">
                  <c:v>0.45764474885844747</c:v>
                </c:pt>
                <c:pt idx="40">
                  <c:v>0.37464474885844751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80-4A4D-B74F-CD74553F9E21}"/>
            </c:ext>
          </c:extLst>
        </c:ser>
        <c:ser>
          <c:idx val="2"/>
          <c:order val="2"/>
          <c:tx>
            <c:strRef>
              <c:f>Energiberäkning!$N$42</c:f>
              <c:strCache>
                <c:ptCount val="1"/>
                <c:pt idx="0">
                  <c:v>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Energiberäkning!$N$43:$N$83</c:f>
              <c:numCache>
                <c:formatCode>0.00</c:formatCode>
                <c:ptCount val="41"/>
                <c:pt idx="0">
                  <c:v>4.3946447488584477</c:v>
                </c:pt>
                <c:pt idx="1">
                  <c:v>4.2941447488584474</c:v>
                </c:pt>
                <c:pt idx="2">
                  <c:v>4.1936447488584472</c:v>
                </c:pt>
                <c:pt idx="3">
                  <c:v>4.0931447488584478</c:v>
                </c:pt>
                <c:pt idx="4">
                  <c:v>3.9926447488584471</c:v>
                </c:pt>
                <c:pt idx="5">
                  <c:v>3.8921447488584469</c:v>
                </c:pt>
                <c:pt idx="6">
                  <c:v>3.3859629306766292</c:v>
                </c:pt>
                <c:pt idx="7">
                  <c:v>3.285462930676629</c:v>
                </c:pt>
                <c:pt idx="8">
                  <c:v>3.1849629306766292</c:v>
                </c:pt>
                <c:pt idx="9">
                  <c:v>3.0844629306766289</c:v>
                </c:pt>
                <c:pt idx="10">
                  <c:v>2.9839629306766291</c:v>
                </c:pt>
                <c:pt idx="11">
                  <c:v>2.8834629306766288</c:v>
                </c:pt>
                <c:pt idx="12">
                  <c:v>2.7829629306766286</c:v>
                </c:pt>
                <c:pt idx="13">
                  <c:v>2.6824629306766292</c:v>
                </c:pt>
                <c:pt idx="14">
                  <c:v>2.581962930676629</c:v>
                </c:pt>
                <c:pt idx="15">
                  <c:v>2.4814629306766292</c:v>
                </c:pt>
                <c:pt idx="16">
                  <c:v>2.3809629306766289</c:v>
                </c:pt>
                <c:pt idx="17">
                  <c:v>2.2804629306766291</c:v>
                </c:pt>
                <c:pt idx="18">
                  <c:v>2.1799629306766288</c:v>
                </c:pt>
                <c:pt idx="19">
                  <c:v>2.0794629306766295</c:v>
                </c:pt>
                <c:pt idx="20">
                  <c:v>1.9789629306766294</c:v>
                </c:pt>
                <c:pt idx="21">
                  <c:v>1.8784629306766292</c:v>
                </c:pt>
                <c:pt idx="22">
                  <c:v>1.7779629306766294</c:v>
                </c:pt>
                <c:pt idx="23">
                  <c:v>1.6774629306766291</c:v>
                </c:pt>
                <c:pt idx="24">
                  <c:v>1.5769629306766293</c:v>
                </c:pt>
                <c:pt idx="25">
                  <c:v>1.4764629306766293</c:v>
                </c:pt>
                <c:pt idx="26">
                  <c:v>1.375962930676629</c:v>
                </c:pt>
                <c:pt idx="27">
                  <c:v>1.2754629306766294</c:v>
                </c:pt>
                <c:pt idx="28">
                  <c:v>1.1749629306766292</c:v>
                </c:pt>
                <c:pt idx="29">
                  <c:v>1.0744629306766293</c:v>
                </c:pt>
                <c:pt idx="30">
                  <c:v>0.97396293067662931</c:v>
                </c:pt>
                <c:pt idx="31">
                  <c:v>0.87346293067662928</c:v>
                </c:pt>
                <c:pt idx="32">
                  <c:v>0.77296293067662925</c:v>
                </c:pt>
                <c:pt idx="33">
                  <c:v>0.67246293067662921</c:v>
                </c:pt>
                <c:pt idx="34">
                  <c:v>0.5719629306766294</c:v>
                </c:pt>
                <c:pt idx="35">
                  <c:v>0.47146293067662931</c:v>
                </c:pt>
                <c:pt idx="36">
                  <c:v>0.37096293067662922</c:v>
                </c:pt>
                <c:pt idx="37">
                  <c:v>0.2704629306766293</c:v>
                </c:pt>
                <c:pt idx="38">
                  <c:v>0.16996293067662938</c:v>
                </c:pt>
                <c:pt idx="39">
                  <c:v>6.9462930676629231E-2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80-4A4D-B74F-CD74553F9E21}"/>
            </c:ext>
          </c:extLst>
        </c:ser>
        <c:ser>
          <c:idx val="3"/>
          <c:order val="3"/>
          <c:tx>
            <c:strRef>
              <c:f>Energiberäkning!$O$42</c:f>
              <c:strCache>
                <c:ptCount val="1"/>
                <c:pt idx="0">
                  <c:v>150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Energiberäkning!$O$43:$O$83</c:f>
              <c:numCache>
                <c:formatCode>0.00</c:formatCode>
                <c:ptCount val="41"/>
                <c:pt idx="0">
                  <c:v>5.7946447488584472</c:v>
                </c:pt>
                <c:pt idx="1">
                  <c:v>5.6591447488584476</c:v>
                </c:pt>
                <c:pt idx="2">
                  <c:v>5.5236447488584473</c:v>
                </c:pt>
                <c:pt idx="3">
                  <c:v>5.3881447488584477</c:v>
                </c:pt>
                <c:pt idx="4">
                  <c:v>5.2526447488584473</c:v>
                </c:pt>
                <c:pt idx="5">
                  <c:v>5.1171447488584469</c:v>
                </c:pt>
                <c:pt idx="6">
                  <c:v>3.7645992943129927</c:v>
                </c:pt>
                <c:pt idx="7">
                  <c:v>3.6290992943129932</c:v>
                </c:pt>
                <c:pt idx="8">
                  <c:v>3.4935992943129928</c:v>
                </c:pt>
                <c:pt idx="9">
                  <c:v>3.3580992943129924</c:v>
                </c:pt>
                <c:pt idx="10">
                  <c:v>3.2225992943129929</c:v>
                </c:pt>
                <c:pt idx="11">
                  <c:v>3.0870992943129933</c:v>
                </c:pt>
                <c:pt idx="12">
                  <c:v>2.9515992943129929</c:v>
                </c:pt>
                <c:pt idx="13">
                  <c:v>2.8160992943129926</c:v>
                </c:pt>
                <c:pt idx="14">
                  <c:v>2.680599294312993</c:v>
                </c:pt>
                <c:pt idx="15">
                  <c:v>2.5450992943129926</c:v>
                </c:pt>
                <c:pt idx="16">
                  <c:v>2.4095992943129931</c:v>
                </c:pt>
                <c:pt idx="17">
                  <c:v>2.2740992943129927</c:v>
                </c:pt>
                <c:pt idx="18">
                  <c:v>2.1385992943129932</c:v>
                </c:pt>
                <c:pt idx="19">
                  <c:v>2.0030992943129928</c:v>
                </c:pt>
                <c:pt idx="20">
                  <c:v>1.8675992943129933</c:v>
                </c:pt>
                <c:pt idx="21">
                  <c:v>1.7320992943129929</c:v>
                </c:pt>
                <c:pt idx="22">
                  <c:v>1.596599294312993</c:v>
                </c:pt>
                <c:pt idx="23">
                  <c:v>1.461099294312993</c:v>
                </c:pt>
                <c:pt idx="24">
                  <c:v>1.3255992943129931</c:v>
                </c:pt>
                <c:pt idx="25">
                  <c:v>1.1900992943129931</c:v>
                </c:pt>
                <c:pt idx="26">
                  <c:v>1.0545992943129927</c:v>
                </c:pt>
                <c:pt idx="27">
                  <c:v>0.9190992943129932</c:v>
                </c:pt>
                <c:pt idx="28">
                  <c:v>0.7835992943129928</c:v>
                </c:pt>
                <c:pt idx="29">
                  <c:v>0.64809929431299329</c:v>
                </c:pt>
                <c:pt idx="30">
                  <c:v>0.51259929431299289</c:v>
                </c:pt>
                <c:pt idx="31">
                  <c:v>0.37709929431299288</c:v>
                </c:pt>
                <c:pt idx="32">
                  <c:v>0.24159929431299293</c:v>
                </c:pt>
                <c:pt idx="33">
                  <c:v>0.10609929431299275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80-4A4D-B74F-CD74553F9E21}"/>
            </c:ext>
          </c:extLst>
        </c:ser>
        <c:ser>
          <c:idx val="4"/>
          <c:order val="4"/>
          <c:tx>
            <c:strRef>
              <c:f>Energiberäkning!$P$42</c:f>
              <c:strCache>
                <c:ptCount val="1"/>
                <c:pt idx="0">
                  <c:v>250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Energiberäkning!$P$43:$P$83</c:f>
              <c:numCache>
                <c:formatCode>0.00</c:formatCode>
                <c:ptCount val="41"/>
                <c:pt idx="0">
                  <c:v>7.1946447488584475</c:v>
                </c:pt>
                <c:pt idx="1">
                  <c:v>7.024144748858447</c:v>
                </c:pt>
                <c:pt idx="2">
                  <c:v>6.8536447488584473</c:v>
                </c:pt>
                <c:pt idx="3">
                  <c:v>6.6831447488584477</c:v>
                </c:pt>
                <c:pt idx="4">
                  <c:v>6.5126447488584471</c:v>
                </c:pt>
                <c:pt idx="5">
                  <c:v>6.3421447488584475</c:v>
                </c:pt>
                <c:pt idx="6">
                  <c:v>4.143235657949357</c:v>
                </c:pt>
                <c:pt idx="7">
                  <c:v>3.972735657949356</c:v>
                </c:pt>
                <c:pt idx="8">
                  <c:v>3.8022356579493564</c:v>
                </c:pt>
                <c:pt idx="9">
                  <c:v>3.6317356579493567</c:v>
                </c:pt>
                <c:pt idx="10">
                  <c:v>3.4612356579493562</c:v>
                </c:pt>
                <c:pt idx="11">
                  <c:v>3.2907356579493556</c:v>
                </c:pt>
                <c:pt idx="12">
                  <c:v>3.120235657949356</c:v>
                </c:pt>
                <c:pt idx="13">
                  <c:v>2.9497356579493563</c:v>
                </c:pt>
                <c:pt idx="14">
                  <c:v>2.7792356579493558</c:v>
                </c:pt>
                <c:pt idx="15">
                  <c:v>2.608735657949357</c:v>
                </c:pt>
                <c:pt idx="16">
                  <c:v>2.4382356579493565</c:v>
                </c:pt>
                <c:pt idx="17">
                  <c:v>2.2677356579493559</c:v>
                </c:pt>
                <c:pt idx="18">
                  <c:v>2.0972356579493563</c:v>
                </c:pt>
                <c:pt idx="19">
                  <c:v>1.9267356579493569</c:v>
                </c:pt>
                <c:pt idx="20">
                  <c:v>1.7562356579493568</c:v>
                </c:pt>
                <c:pt idx="21">
                  <c:v>1.5857356579493567</c:v>
                </c:pt>
                <c:pt idx="22">
                  <c:v>1.415235657949357</c:v>
                </c:pt>
                <c:pt idx="23">
                  <c:v>1.2447356579493565</c:v>
                </c:pt>
                <c:pt idx="24">
                  <c:v>1.0742356579493568</c:v>
                </c:pt>
                <c:pt idx="25">
                  <c:v>0.90373565794935673</c:v>
                </c:pt>
                <c:pt idx="26">
                  <c:v>0.73323565794935663</c:v>
                </c:pt>
                <c:pt idx="27">
                  <c:v>0.56273565794935698</c:v>
                </c:pt>
                <c:pt idx="28">
                  <c:v>0.39223565794935639</c:v>
                </c:pt>
                <c:pt idx="29">
                  <c:v>0.22173565794935673</c:v>
                </c:pt>
                <c:pt idx="30">
                  <c:v>5.1235657949356639E-2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7380-4A4D-B74F-CD74553F9E21}"/>
            </c:ext>
          </c:extLst>
        </c:ser>
        <c:ser>
          <c:idx val="5"/>
          <c:order val="5"/>
          <c:tx>
            <c:strRef>
              <c:f>Energiberäkning!$Q$42</c:f>
              <c:strCache>
                <c:ptCount val="1"/>
                <c:pt idx="0">
                  <c:v>150 m^3/h, FLVP+LLVP + eldn (Pu-Ps-P_hushåll/2+Förluster)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Energiberäkning!$K$43:$K$83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Energiberäkning!$Q$43:$Q$83</c:f>
              <c:numCache>
                <c:formatCode>0.00</c:formatCode>
                <c:ptCount val="41"/>
                <c:pt idx="0">
                  <c:v>2.5116107270593879</c:v>
                </c:pt>
                <c:pt idx="1">
                  <c:v>2.4178389329488108</c:v>
                </c:pt>
                <c:pt idx="2">
                  <c:v>2.3257451574140831</c:v>
                </c:pt>
                <c:pt idx="3">
                  <c:v>2.2353294004552069</c:v>
                </c:pt>
                <c:pt idx="4">
                  <c:v>2.1465916620721828</c:v>
                </c:pt>
                <c:pt idx="5">
                  <c:v>2.0595319422650094</c:v>
                </c:pt>
                <c:pt idx="6">
                  <c:v>1.4918535903159844</c:v>
                </c:pt>
                <c:pt idx="7">
                  <c:v>1.4156857928279789</c:v>
                </c:pt>
                <c:pt idx="8">
                  <c:v>1.3411960139158239</c:v>
                </c:pt>
                <c:pt idx="9">
                  <c:v>1.2683842535795202</c:v>
                </c:pt>
                <c:pt idx="10">
                  <c:v>1.1972505118190688</c:v>
                </c:pt>
                <c:pt idx="11">
                  <c:v>1.1277947886344681</c:v>
                </c:pt>
                <c:pt idx="12">
                  <c:v>1.0600170840257186</c:v>
                </c:pt>
                <c:pt idx="13">
                  <c:v>0.99391739799282119</c:v>
                </c:pt>
                <c:pt idx="14">
                  <c:v>0.92949573053577472</c:v>
                </c:pt>
                <c:pt idx="15">
                  <c:v>0.8667520816545794</c:v>
                </c:pt>
                <c:pt idx="16">
                  <c:v>0.80568645134923633</c:v>
                </c:pt>
                <c:pt idx="17">
                  <c:v>0.74629883961974386</c:v>
                </c:pt>
                <c:pt idx="18">
                  <c:v>0.68858924646610298</c:v>
                </c:pt>
                <c:pt idx="19">
                  <c:v>0.63255767188831369</c:v>
                </c:pt>
                <c:pt idx="20">
                  <c:v>0.57820411588637566</c:v>
                </c:pt>
                <c:pt idx="21">
                  <c:v>0.52552857846028878</c:v>
                </c:pt>
                <c:pt idx="22">
                  <c:v>0.47453105961005382</c:v>
                </c:pt>
                <c:pt idx="23">
                  <c:v>0.42521155933566984</c:v>
                </c:pt>
                <c:pt idx="24">
                  <c:v>0.37757007763713729</c:v>
                </c:pt>
                <c:pt idx="25">
                  <c:v>0.33160661451445639</c:v>
                </c:pt>
                <c:pt idx="26">
                  <c:v>0.28732116996762652</c:v>
                </c:pt>
                <c:pt idx="27">
                  <c:v>0.2447137439966483</c:v>
                </c:pt>
                <c:pt idx="28">
                  <c:v>0.20378433660152126</c:v>
                </c:pt>
                <c:pt idx="29">
                  <c:v>0.164532947782246</c:v>
                </c:pt>
                <c:pt idx="30">
                  <c:v>0.12695957753882176</c:v>
                </c:pt>
                <c:pt idx="31">
                  <c:v>9.106422587124903E-2</c:v>
                </c:pt>
                <c:pt idx="32">
                  <c:v>5.6846892779527758E-2</c:v>
                </c:pt>
                <c:pt idx="33">
                  <c:v>2.4307578263657783E-2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380-4A4D-B74F-CD74553F9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4853456"/>
        <c:axId val="364853848"/>
      </c:lineChart>
      <c:catAx>
        <c:axId val="36485345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4853848"/>
        <c:crosses val="autoZero"/>
        <c:auto val="1"/>
        <c:lblAlgn val="ctr"/>
        <c:lblOffset val="100"/>
        <c:noMultiLvlLbl val="0"/>
      </c:catAx>
      <c:valAx>
        <c:axId val="36485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485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sz="1800"/>
              <a:t>Beräknad</a:t>
            </a:r>
            <a:r>
              <a:rPr lang="sv-SE" sz="1800" baseline="0"/>
              <a:t> förbrukning FLVP med utan LLVP</a:t>
            </a:r>
            <a:endParaRPr lang="sv-SE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Energiberäkning!$A$7</c:f>
              <c:strCache>
                <c:ptCount val="1"/>
                <c:pt idx="0">
                  <c:v>Energi värme, FLVP, 150m^3/h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Energiberäkning!$B$1:$M$1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Maj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Energiberäkning!$B$7:$M$7</c:f>
              <c:numCache>
                <c:formatCode>0</c:formatCode>
                <c:ptCount val="12"/>
                <c:pt idx="0">
                  <c:v>1627.8218749688665</c:v>
                </c:pt>
                <c:pt idx="1">
                  <c:v>1389.0316931506848</c:v>
                </c:pt>
                <c:pt idx="2">
                  <c:v>1170.1604204234125</c:v>
                </c:pt>
                <c:pt idx="3">
                  <c:v>841.85351133250333</c:v>
                </c:pt>
                <c:pt idx="4">
                  <c:v>339.14</c:v>
                </c:pt>
                <c:pt idx="5">
                  <c:v>339.14</c:v>
                </c:pt>
                <c:pt idx="6">
                  <c:v>339.14</c:v>
                </c:pt>
                <c:pt idx="7">
                  <c:v>339.14</c:v>
                </c:pt>
                <c:pt idx="8">
                  <c:v>339.14</c:v>
                </c:pt>
                <c:pt idx="9">
                  <c:v>513.54660224159397</c:v>
                </c:pt>
                <c:pt idx="10">
                  <c:v>951.28914769613914</c:v>
                </c:pt>
                <c:pt idx="11">
                  <c:v>1389.0316931506848</c:v>
                </c:pt>
              </c:numCache>
            </c:numRef>
          </c:val>
        </c:ser>
        <c:ser>
          <c:idx val="5"/>
          <c:order val="5"/>
          <c:tx>
            <c:strRef>
              <c:f>Energiberäkning!$A$8</c:f>
              <c:strCache>
                <c:ptCount val="1"/>
                <c:pt idx="0">
                  <c:v>Energi värme, FLVP, 150m^3/h + LLVP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Energiberäkning!$B$1:$M$1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Maj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Energiberäkning!$B$8:$M$8</c:f>
              <c:numCache>
                <c:formatCode>0</c:formatCode>
                <c:ptCount val="12"/>
                <c:pt idx="0">
                  <c:v>932.52857846028883</c:v>
                </c:pt>
                <c:pt idx="1">
                  <c:v>881.53105961005383</c:v>
                </c:pt>
                <c:pt idx="2">
                  <c:v>784.57007763713727</c:v>
                </c:pt>
                <c:pt idx="3">
                  <c:v>651.7137439966483</c:v>
                </c:pt>
                <c:pt idx="4">
                  <c:v>431.30757826365777</c:v>
                </c:pt>
                <c:pt idx="5">
                  <c:v>407</c:v>
                </c:pt>
                <c:pt idx="6">
                  <c:v>407</c:v>
                </c:pt>
                <c:pt idx="7">
                  <c:v>407</c:v>
                </c:pt>
                <c:pt idx="8">
                  <c:v>407</c:v>
                </c:pt>
                <c:pt idx="9">
                  <c:v>533.9595775388218</c:v>
                </c:pt>
                <c:pt idx="10">
                  <c:v>694.32116996762647</c:v>
                </c:pt>
                <c:pt idx="11">
                  <c:v>881.53105961005383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8019368"/>
        <c:axId val="3680217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Energiberäkning!$A$2</c15:sqref>
                        </c15:formulaRef>
                      </c:ext>
                    </c:extLst>
                    <c:strCache>
                      <c:ptCount val="1"/>
                      <c:pt idx="0">
                        <c:v>Medeltemperatur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Energiberäkning!$B$2:$M$2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1.3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7</c:v>
                      </c:pt>
                      <c:pt idx="4">
                        <c:v>13</c:v>
                      </c:pt>
                      <c:pt idx="5">
                        <c:v>17</c:v>
                      </c:pt>
                      <c:pt idx="6">
                        <c:v>19</c:v>
                      </c:pt>
                      <c:pt idx="7">
                        <c:v>18</c:v>
                      </c:pt>
                      <c:pt idx="8">
                        <c:v>14</c:v>
                      </c:pt>
                      <c:pt idx="9">
                        <c:v>10</c:v>
                      </c:pt>
                      <c:pt idx="10">
                        <c:v>6</c:v>
                      </c:pt>
                      <c:pt idx="11">
                        <c:v>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Energiberäkning!$A$4</c15:sqref>
                        </c15:formulaRef>
                      </c:ext>
                    </c:extLst>
                    <c:strCache>
                      <c:ptCount val="1"/>
                      <c:pt idx="0">
                        <c:v>Effektbehov värme (W)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Energiberäkning!$B$4:$M$4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2466.2173955197131</c:v>
                      </c:pt>
                      <c:pt idx="1">
                        <c:v>2454.7231111111114</c:v>
                      </c:pt>
                      <c:pt idx="2">
                        <c:v>2249.1792455197133</c:v>
                      </c:pt>
                      <c:pt idx="3">
                        <c:v>1985.6138037037038</c:v>
                      </c:pt>
                      <c:pt idx="4">
                        <c:v>1489.376845519713</c:v>
                      </c:pt>
                      <c:pt idx="5">
                        <c:v>1145.4269037037036</c:v>
                      </c:pt>
                      <c:pt idx="6">
                        <c:v>970.7279455197131</c:v>
                      </c:pt>
                      <c:pt idx="7">
                        <c:v>1051.1124455197132</c:v>
                      </c:pt>
                      <c:pt idx="8">
                        <c:v>1386.5804037037037</c:v>
                      </c:pt>
                      <c:pt idx="9">
                        <c:v>1730.5303455197131</c:v>
                      </c:pt>
                      <c:pt idx="10">
                        <c:v>2065.9983037037036</c:v>
                      </c:pt>
                      <c:pt idx="11">
                        <c:v>2409.9482455197135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Energiberäkning!$A$5</c15:sqref>
                        </c15:formulaRef>
                      </c:ext>
                    </c:extLst>
                    <c:strCache>
                      <c:ptCount val="1"/>
                      <c:pt idx="0">
                        <c:v>Energi värme (KWh/mån)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Energiberäkning!$B$5:$M$5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1834.8657422666668</c:v>
                      </c:pt>
                      <c:pt idx="1">
                        <c:v>1649.5739306666669</c:v>
                      </c:pt>
                      <c:pt idx="2">
                        <c:v>1673.3893586666668</c:v>
                      </c:pt>
                      <c:pt idx="3">
                        <c:v>1429.6419386666666</c:v>
                      </c:pt>
                      <c:pt idx="4">
                        <c:v>1108.0963730666665</c:v>
                      </c:pt>
                      <c:pt idx="5">
                        <c:v>824.70737066666675</c:v>
                      </c:pt>
                      <c:pt idx="6">
                        <c:v>722.2215914666665</c:v>
                      </c:pt>
                      <c:pt idx="7">
                        <c:v>782.02765946666659</c:v>
                      </c:pt>
                      <c:pt idx="8">
                        <c:v>998.33789066666668</c:v>
                      </c:pt>
                      <c:pt idx="9">
                        <c:v>1287.5145770666666</c:v>
                      </c:pt>
                      <c:pt idx="10">
                        <c:v>1487.5187786666665</c:v>
                      </c:pt>
                      <c:pt idx="11">
                        <c:v>1793.001494666667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Energiberäkning!$A$6</c15:sqref>
                        </c15:formulaRef>
                      </c:ext>
                    </c:extLst>
                    <c:strCache>
                      <c:ptCount val="1"/>
                      <c:pt idx="0">
                        <c:v>Effekt värme, baserat på nedan kalkyl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Energiberäkning!$B$6:$M$6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2187.9326276463262</c:v>
                      </c:pt>
                      <c:pt idx="1">
                        <c:v>1866.9780821917807</c:v>
                      </c:pt>
                      <c:pt idx="2">
                        <c:v>1572.7962640099629</c:v>
                      </c:pt>
                      <c:pt idx="3">
                        <c:v>1131.5235367372356</c:v>
                      </c:pt>
                      <c:pt idx="4">
                        <c:v>455.83333333333331</c:v>
                      </c:pt>
                      <c:pt idx="5">
                        <c:v>455.83333333333331</c:v>
                      </c:pt>
                      <c:pt idx="6">
                        <c:v>455.83333333333331</c:v>
                      </c:pt>
                      <c:pt idx="7">
                        <c:v>455.83333333333331</c:v>
                      </c:pt>
                      <c:pt idx="8">
                        <c:v>455.83333333333331</c:v>
                      </c:pt>
                      <c:pt idx="9">
                        <c:v>690.25080946450805</c:v>
                      </c:pt>
                      <c:pt idx="10">
                        <c:v>1278.6144458281442</c:v>
                      </c:pt>
                      <c:pt idx="11">
                        <c:v>1866.9780821917807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368019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8021720"/>
        <c:crosses val="autoZero"/>
        <c:auto val="1"/>
        <c:lblAlgn val="ctr"/>
        <c:lblOffset val="100"/>
        <c:noMultiLvlLbl val="0"/>
      </c:catAx>
      <c:valAx>
        <c:axId val="368021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68019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74095</xdr:colOff>
      <xdr:row>3</xdr:row>
      <xdr:rowOff>114301</xdr:rowOff>
    </xdr:from>
    <xdr:to>
      <xdr:col>17</xdr:col>
      <xdr:colOff>557188</xdr:colOff>
      <xdr:row>16</xdr:row>
      <xdr:rowOff>45080</xdr:rowOff>
    </xdr:to>
    <xdr:pic>
      <xdr:nvPicPr>
        <xdr:cNvPr id="2" name="Bildobjekt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817" y="488245"/>
          <a:ext cx="2987815" cy="2322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105833</xdr:colOff>
      <xdr:row>18</xdr:row>
      <xdr:rowOff>169334</xdr:rowOff>
    </xdr:from>
    <xdr:to>
      <xdr:col>19</xdr:col>
      <xdr:colOff>437444</xdr:colOff>
      <xdr:row>37</xdr:row>
      <xdr:rowOff>100326</xdr:rowOff>
    </xdr:to>
    <xdr:grpSp>
      <xdr:nvGrpSpPr>
        <xdr:cNvPr id="7" name="Grupp 6"/>
        <xdr:cNvGrpSpPr/>
      </xdr:nvGrpSpPr>
      <xdr:grpSpPr>
        <a:xfrm>
          <a:off x="7718777" y="3485445"/>
          <a:ext cx="7366000" cy="3416437"/>
          <a:chOff x="12394420" y="5018051"/>
          <a:chExt cx="7701139" cy="3903134"/>
        </a:xfrm>
      </xdr:grpSpPr>
      <xdr:graphicFrame macro="">
        <xdr:nvGraphicFramePr>
          <xdr:cNvPr id="3" name="Diagram 2">
            <a:extLst>
              <a:ext uri="{FF2B5EF4-FFF2-40B4-BE49-F238E27FC236}">
                <a16:creationId xmlns="" xmlns:a16="http://schemas.microsoft.com/office/drawing/2014/main" id="{DB9CBF81-091C-F385-9B1C-FDB9B8949CF0}"/>
              </a:ext>
            </a:extLst>
          </xdr:cNvPr>
          <xdr:cNvGraphicFramePr>
            <a:graphicFrameLocks/>
          </xdr:cNvGraphicFramePr>
        </xdr:nvGraphicFramePr>
        <xdr:xfrm>
          <a:off x="12394420" y="5018051"/>
          <a:ext cx="7701139" cy="39031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4" name="Rundad rektangulär 3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7377071" y="6029426"/>
            <a:ext cx="2501196" cy="524934"/>
          </a:xfrm>
          <a:prstGeom prst="wedgeRoundRectCallout">
            <a:avLst>
              <a:gd name="adj1" fmla="val -74055"/>
              <a:gd name="adj2" fmla="val 83107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sv-SE" sz="1100"/>
              <a:t>FLVP ger mer tillskott med ökande luftflöde över ca -2 grader</a:t>
            </a:r>
          </a:p>
        </xdr:txBody>
      </xdr:sp>
      <xdr:sp macro="" textlink="">
        <xdr:nvSpPr>
          <xdr:cNvPr id="5" name="Rundad rektangulär 4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4671029" y="5423215"/>
            <a:ext cx="4040716" cy="531989"/>
          </a:xfrm>
          <a:prstGeom prst="wedgeRoundRectCallout">
            <a:avLst>
              <a:gd name="adj1" fmla="val -51979"/>
              <a:gd name="adj2" fmla="val 129166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sv-SE" sz="1100"/>
              <a:t>Temp avluft satt till -5 och FLVP ger inget tillskott vid utetemp under denna, därav höjningen under -14</a:t>
            </a:r>
          </a:p>
        </xdr:txBody>
      </xdr:sp>
    </xdr:grpSp>
    <xdr:clientData/>
  </xdr:twoCellAnchor>
  <xdr:twoCellAnchor>
    <xdr:from>
      <xdr:col>0</xdr:col>
      <xdr:colOff>9525</xdr:colOff>
      <xdr:row>17</xdr:row>
      <xdr:rowOff>49389</xdr:rowOff>
    </xdr:from>
    <xdr:to>
      <xdr:col>8</xdr:col>
      <xdr:colOff>21168</xdr:colOff>
      <xdr:row>29</xdr:row>
      <xdr:rowOff>162279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ltipsaren.se/sv/advice/andra-ventilationen-att-gora-franluftsvarmepumpen-mer-effekti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4"/>
  <sheetViews>
    <sheetView tabSelected="1" zoomScale="90" zoomScaleNormal="90" workbookViewId="0">
      <pane ySplit="1" topLeftCell="A21" activePane="bottomLeft" state="frozen"/>
      <selection pane="bottomLeft" activeCell="H12" sqref="H12"/>
    </sheetView>
  </sheetViews>
  <sheetFormatPr defaultRowHeight="14.5" x14ac:dyDescent="0.35"/>
  <cols>
    <col min="1" max="1" width="37.08984375" bestFit="1" customWidth="1"/>
    <col min="2" max="2" width="8.7265625" style="6"/>
    <col min="4" max="4" width="12.90625" style="6" bestFit="1" customWidth="1"/>
    <col min="5" max="6" width="9.26953125" bestFit="1" customWidth="1"/>
    <col min="7" max="7" width="9.54296875" bestFit="1" customWidth="1"/>
    <col min="8" max="8" width="13.453125" customWidth="1"/>
    <col min="10" max="10" width="8.453125" style="11" customWidth="1"/>
    <col min="11" max="12" width="10.81640625" bestFit="1" customWidth="1"/>
    <col min="14" max="14" width="9.81640625" customWidth="1"/>
    <col min="24" max="24" width="5.81640625" bestFit="1" customWidth="1"/>
    <col min="27" max="27" width="15.1796875" bestFit="1" customWidth="1"/>
    <col min="28" max="28" width="11.54296875" customWidth="1"/>
  </cols>
  <sheetData>
    <row r="1" spans="1:25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25" x14ac:dyDescent="0.35">
      <c r="A2" s="31" t="s">
        <v>13</v>
      </c>
      <c r="B2" s="44">
        <v>1.3</v>
      </c>
      <c r="C2" s="44">
        <v>2</v>
      </c>
      <c r="D2" s="44">
        <v>4</v>
      </c>
      <c r="E2" s="44">
        <v>7</v>
      </c>
      <c r="F2" s="44">
        <v>13</v>
      </c>
      <c r="G2" s="44">
        <v>17</v>
      </c>
      <c r="H2" s="44">
        <v>19</v>
      </c>
      <c r="I2" s="44">
        <v>18</v>
      </c>
      <c r="J2" s="44">
        <v>14</v>
      </c>
      <c r="K2" s="44">
        <v>10</v>
      </c>
      <c r="L2" s="44">
        <v>6</v>
      </c>
      <c r="M2" s="45">
        <v>2</v>
      </c>
      <c r="N2" s="2"/>
      <c r="R2" s="3" t="s">
        <v>14</v>
      </c>
    </row>
    <row r="3" spans="1:25" x14ac:dyDescent="0.35">
      <c r="A3" s="32" t="s">
        <v>85</v>
      </c>
      <c r="B3" s="48">
        <v>5</v>
      </c>
      <c r="C3" s="48">
        <v>5</v>
      </c>
      <c r="D3" s="48">
        <v>5</v>
      </c>
      <c r="E3" s="48">
        <v>6</v>
      </c>
      <c r="F3" s="48">
        <v>6</v>
      </c>
      <c r="G3" s="48">
        <v>7</v>
      </c>
      <c r="H3" s="48">
        <v>7</v>
      </c>
      <c r="I3" s="48">
        <v>7</v>
      </c>
      <c r="J3" s="48">
        <v>7</v>
      </c>
      <c r="K3" s="48">
        <v>6</v>
      </c>
      <c r="L3" s="48">
        <v>6</v>
      </c>
      <c r="M3" s="50">
        <v>5</v>
      </c>
      <c r="N3" s="2"/>
      <c r="R3" s="3"/>
    </row>
    <row r="4" spans="1:25" x14ac:dyDescent="0.35">
      <c r="A4" s="32" t="s">
        <v>81</v>
      </c>
      <c r="B4" s="33">
        <f>($E15-B2)*$E13+($E15-B3)*$E14+($B11+$B12)/12/31/24*1000</f>
        <v>2466.2173955197131</v>
      </c>
      <c r="C4" s="33">
        <f>($E15-C2)*$E13+($E15-C3)*$E14+($B11+$B12)/12/28/24*1000</f>
        <v>2454.7231111111114</v>
      </c>
      <c r="D4" s="33">
        <f>($E15-D2)*$E13+($E15-D3)*$E14+($B11+$B12)/12/31/24*1000</f>
        <v>2249.1792455197133</v>
      </c>
      <c r="E4" s="33">
        <f>($E15-E2)*$E13+($E15-E3)*$E14+($B11+$B12)/12/30/24*1000</f>
        <v>1985.6138037037038</v>
      </c>
      <c r="F4" s="33">
        <f>($E15-F2)*$E13+($E15-F3)*$E14+($B11+$B12)/12/31/24*1000</f>
        <v>1489.376845519713</v>
      </c>
      <c r="G4" s="33">
        <f>($E15-G2)*$E13+($E15-G3)*$E14+($B11+$B12)/12/30/24*1000</f>
        <v>1145.4269037037036</v>
      </c>
      <c r="H4" s="33">
        <f>($E15-H2)*$E13+($E15-H3)*$E14+($B11+$B12)/12/31/24*1000</f>
        <v>970.7279455197131</v>
      </c>
      <c r="I4" s="33">
        <f>($E15-I2)*$E13+($E15-I3)*$E14+($B11+$B12)/12/31/24*1000</f>
        <v>1051.1124455197132</v>
      </c>
      <c r="J4" s="33">
        <f>($E15-J2)*$E13+($E15-J3)*$E14+($B11+$B12)/12/30/24*1000</f>
        <v>1386.5804037037037</v>
      </c>
      <c r="K4" s="33">
        <f>($E15-K2)*$E13+($E15-K3)*$E14+($B11+$B12)/12/31/24*1000</f>
        <v>1730.5303455197131</v>
      </c>
      <c r="L4" s="33">
        <f>($E15-L2)*$E13+($E15-L3)*$E14+($B11+$B12)/12/30/24*1000</f>
        <v>2065.9983037037036</v>
      </c>
      <c r="M4" s="34">
        <f>($E15-M2)*$E13+($E15-M3)*$E14+($B11+$B12)/12/31/24*1000</f>
        <v>2409.9482455197135</v>
      </c>
      <c r="N4" s="4"/>
    </row>
    <row r="5" spans="1:25" x14ac:dyDescent="0.35">
      <c r="A5" s="32" t="s">
        <v>82</v>
      </c>
      <c r="B5" s="35">
        <f>B4/1000*24*31</f>
        <v>1834.8657422666668</v>
      </c>
      <c r="C5" s="35">
        <f>C4/1000*24*28</f>
        <v>1649.5739306666669</v>
      </c>
      <c r="D5" s="35">
        <f>D4/1000*24*31</f>
        <v>1673.3893586666668</v>
      </c>
      <c r="E5" s="35">
        <f>E4/1000*24*30</f>
        <v>1429.6419386666666</v>
      </c>
      <c r="F5" s="35">
        <f t="shared" ref="F5:M5" si="0">F4/1000*24*31</f>
        <v>1108.0963730666665</v>
      </c>
      <c r="G5" s="35">
        <f>G4/1000*24*30</f>
        <v>824.70737066666675</v>
      </c>
      <c r="H5" s="35">
        <f t="shared" si="0"/>
        <v>722.2215914666665</v>
      </c>
      <c r="I5" s="35">
        <f t="shared" si="0"/>
        <v>782.02765946666659</v>
      </c>
      <c r="J5" s="35">
        <f>J4/1000*24*30</f>
        <v>998.33789066666668</v>
      </c>
      <c r="K5" s="35">
        <f t="shared" si="0"/>
        <v>1287.5145770666666</v>
      </c>
      <c r="L5" s="35">
        <f>L4/1000*24*30</f>
        <v>1487.5187786666665</v>
      </c>
      <c r="M5" s="36">
        <f t="shared" si="0"/>
        <v>1793.001494666667</v>
      </c>
      <c r="N5" s="5"/>
      <c r="O5" s="6"/>
    </row>
    <row r="6" spans="1:25" x14ac:dyDescent="0.35">
      <c r="A6" s="32" t="s">
        <v>15</v>
      </c>
      <c r="B6" s="33">
        <f>VLOOKUP(B2,$K$42:$T$82,5,TRUE)*1000+($B$11+$B$12+$B$13+$B$14+$B$17)/12</f>
        <v>2187.9326276463262</v>
      </c>
      <c r="C6" s="33">
        <f t="shared" ref="C6:M6" si="1">VLOOKUP(C2,$B$43:$J$83,9,TRUE)*1000+($B$11+$B$12+$B$13+$B$14+$B$17)/12</f>
        <v>1866.9780821917807</v>
      </c>
      <c r="D6" s="33">
        <f t="shared" si="1"/>
        <v>1572.7962640099629</v>
      </c>
      <c r="E6" s="33">
        <f t="shared" si="1"/>
        <v>1131.5235367372356</v>
      </c>
      <c r="F6" s="33">
        <f t="shared" si="1"/>
        <v>455.83333333333331</v>
      </c>
      <c r="G6" s="33">
        <f t="shared" si="1"/>
        <v>455.83333333333331</v>
      </c>
      <c r="H6" s="33">
        <f t="shared" si="1"/>
        <v>455.83333333333331</v>
      </c>
      <c r="I6" s="33">
        <f t="shared" si="1"/>
        <v>455.83333333333331</v>
      </c>
      <c r="J6" s="33">
        <f t="shared" si="1"/>
        <v>455.83333333333331</v>
      </c>
      <c r="K6" s="33">
        <f t="shared" si="1"/>
        <v>690.25080946450805</v>
      </c>
      <c r="L6" s="33">
        <f t="shared" si="1"/>
        <v>1278.6144458281442</v>
      </c>
      <c r="M6" s="34">
        <f t="shared" si="1"/>
        <v>1866.9780821917807</v>
      </c>
      <c r="N6" s="4"/>
    </row>
    <row r="7" spans="1:25" x14ac:dyDescent="0.35">
      <c r="A7" s="32" t="s">
        <v>88</v>
      </c>
      <c r="B7" s="35">
        <f>B6/1000*24*31</f>
        <v>1627.8218749688665</v>
      </c>
      <c r="C7" s="35">
        <f>C6/1000*24*31</f>
        <v>1389.0316931506848</v>
      </c>
      <c r="D7" s="35">
        <f t="shared" ref="D7:M7" si="2">D6/1000*24*31</f>
        <v>1170.1604204234125</v>
      </c>
      <c r="E7" s="35">
        <f t="shared" si="2"/>
        <v>841.85351133250333</v>
      </c>
      <c r="F7" s="35">
        <f t="shared" si="2"/>
        <v>339.14</v>
      </c>
      <c r="G7" s="35">
        <f t="shared" si="2"/>
        <v>339.14</v>
      </c>
      <c r="H7" s="35">
        <f t="shared" si="2"/>
        <v>339.14</v>
      </c>
      <c r="I7" s="35">
        <f t="shared" si="2"/>
        <v>339.14</v>
      </c>
      <c r="J7" s="35">
        <f t="shared" si="2"/>
        <v>339.14</v>
      </c>
      <c r="K7" s="35">
        <f t="shared" si="2"/>
        <v>513.54660224159397</v>
      </c>
      <c r="L7" s="35">
        <f t="shared" si="2"/>
        <v>951.28914769613914</v>
      </c>
      <c r="M7" s="36">
        <f t="shared" si="2"/>
        <v>1389.0316931506848</v>
      </c>
      <c r="N7" s="5"/>
      <c r="O7" s="6"/>
      <c r="P7" s="7"/>
    </row>
    <row r="8" spans="1:25" ht="15" thickBot="1" x14ac:dyDescent="0.4">
      <c r="A8" s="37" t="s">
        <v>87</v>
      </c>
      <c r="B8" s="38">
        <f t="shared" ref="B8:M8" si="3">(VLOOKUP(B2,$K$42:$T$82,7,TRUE)*1000+($B$11+$B$12+$B$13+$B$14)/12)</f>
        <v>932.52857846028883</v>
      </c>
      <c r="C8" s="38">
        <f t="shared" si="3"/>
        <v>881.53105961005383</v>
      </c>
      <c r="D8" s="38">
        <f t="shared" si="3"/>
        <v>784.57007763713727</v>
      </c>
      <c r="E8" s="38">
        <f t="shared" si="3"/>
        <v>651.7137439966483</v>
      </c>
      <c r="F8" s="38">
        <f t="shared" si="3"/>
        <v>431.30757826365777</v>
      </c>
      <c r="G8" s="38">
        <f t="shared" si="3"/>
        <v>407</v>
      </c>
      <c r="H8" s="38">
        <f t="shared" si="3"/>
        <v>407</v>
      </c>
      <c r="I8" s="38">
        <f t="shared" si="3"/>
        <v>407</v>
      </c>
      <c r="J8" s="38">
        <f t="shared" si="3"/>
        <v>407</v>
      </c>
      <c r="K8" s="38">
        <f t="shared" si="3"/>
        <v>533.9595775388218</v>
      </c>
      <c r="L8" s="38">
        <f t="shared" si="3"/>
        <v>694.32116996762647</v>
      </c>
      <c r="M8" s="39">
        <f t="shared" si="3"/>
        <v>881.53105961005383</v>
      </c>
      <c r="N8" s="5"/>
      <c r="O8" s="6"/>
    </row>
    <row r="9" spans="1:25" x14ac:dyDescent="0.35">
      <c r="A9" s="28" t="s">
        <v>16</v>
      </c>
      <c r="B9" s="6">
        <v>4602</v>
      </c>
      <c r="C9" t="s">
        <v>17</v>
      </c>
      <c r="D9" s="41" t="s">
        <v>18</v>
      </c>
      <c r="E9" s="40">
        <v>604.79999999999995</v>
      </c>
      <c r="F9" s="11"/>
      <c r="G9" s="11"/>
      <c r="H9" s="6"/>
      <c r="J9"/>
      <c r="S9" s="10" t="s">
        <v>19</v>
      </c>
    </row>
    <row r="10" spans="1:25" x14ac:dyDescent="0.35">
      <c r="A10" s="28" t="s">
        <v>20</v>
      </c>
      <c r="B10" s="6">
        <v>14094</v>
      </c>
      <c r="C10" t="s">
        <v>17</v>
      </c>
      <c r="D10" s="41" t="s">
        <v>21</v>
      </c>
      <c r="E10" s="40">
        <v>416.5</v>
      </c>
      <c r="F10" s="11"/>
      <c r="J10"/>
      <c r="S10" s="10" t="s">
        <v>23</v>
      </c>
      <c r="Y10" s="12" t="s">
        <v>24</v>
      </c>
    </row>
    <row r="11" spans="1:25" x14ac:dyDescent="0.35">
      <c r="A11" s="28" t="s">
        <v>25</v>
      </c>
      <c r="B11" s="6">
        <v>2761</v>
      </c>
      <c r="C11" t="s">
        <v>17</v>
      </c>
      <c r="D11" s="41" t="s">
        <v>26</v>
      </c>
      <c r="E11" s="40">
        <f>E9-E10</f>
        <v>188.29999999999995</v>
      </c>
      <c r="F11" s="11"/>
      <c r="J11"/>
      <c r="S11" s="10" t="s">
        <v>27</v>
      </c>
    </row>
    <row r="12" spans="1:25" x14ac:dyDescent="0.35">
      <c r="A12" s="28" t="s">
        <v>28</v>
      </c>
      <c r="B12" s="6">
        <v>970</v>
      </c>
      <c r="C12" t="s">
        <v>17</v>
      </c>
      <c r="D12" s="41" t="s">
        <v>29</v>
      </c>
      <c r="E12" s="40">
        <v>0.193</v>
      </c>
      <c r="F12" s="11"/>
      <c r="J12"/>
    </row>
    <row r="13" spans="1:25" x14ac:dyDescent="0.35">
      <c r="A13" s="28" t="s">
        <v>30</v>
      </c>
      <c r="B13" s="47">
        <v>398</v>
      </c>
      <c r="C13" t="s">
        <v>17</v>
      </c>
      <c r="D13" s="41" t="s">
        <v>84</v>
      </c>
      <c r="E13" s="40">
        <f>E12*E10</f>
        <v>80.384500000000003</v>
      </c>
      <c r="F13" s="11"/>
      <c r="J13"/>
      <c r="S13" t="s">
        <v>31</v>
      </c>
    </row>
    <row r="14" spans="1:25" x14ac:dyDescent="0.35">
      <c r="A14" s="28" t="s">
        <v>32</v>
      </c>
      <c r="B14" s="47">
        <v>755</v>
      </c>
      <c r="C14" t="s">
        <v>17</v>
      </c>
      <c r="D14" s="41" t="s">
        <v>83</v>
      </c>
      <c r="E14" s="40">
        <f>E12*E11</f>
        <v>36.341899999999995</v>
      </c>
      <c r="F14" s="11"/>
      <c r="J14"/>
      <c r="L14" s="6"/>
      <c r="M14" s="6"/>
      <c r="N14" s="6"/>
      <c r="S14" s="10" t="s">
        <v>34</v>
      </c>
    </row>
    <row r="15" spans="1:25" x14ac:dyDescent="0.35">
      <c r="A15" s="28" t="s">
        <v>35</v>
      </c>
      <c r="B15" s="47">
        <v>4332</v>
      </c>
      <c r="C15" t="s">
        <v>17</v>
      </c>
      <c r="D15" s="41" t="s">
        <v>33</v>
      </c>
      <c r="E15" s="46">
        <v>20</v>
      </c>
      <c r="F15" s="11"/>
      <c r="J15" s="6"/>
      <c r="K15" s="6"/>
      <c r="L15" s="6"/>
      <c r="M15" s="13"/>
      <c r="N15" s="13"/>
      <c r="S15" s="10" t="s">
        <v>36</v>
      </c>
    </row>
    <row r="16" spans="1:25" s="11" customFormat="1" x14ac:dyDescent="0.35">
      <c r="A16" s="28" t="s">
        <v>37</v>
      </c>
      <c r="B16" s="47">
        <v>3463</v>
      </c>
      <c r="C16" t="s">
        <v>17</v>
      </c>
      <c r="D16" s="41"/>
      <c r="E16" s="46"/>
      <c r="G16"/>
      <c r="H16"/>
      <c r="I16"/>
      <c r="J16" s="6"/>
      <c r="K16" s="6"/>
      <c r="L16" s="6"/>
      <c r="M16" s="13"/>
      <c r="N16" s="13"/>
      <c r="S16" s="10" t="s">
        <v>38</v>
      </c>
    </row>
    <row r="17" spans="1:29" s="11" customFormat="1" x14ac:dyDescent="0.35">
      <c r="A17" s="28" t="s">
        <v>39</v>
      </c>
      <c r="B17" s="47">
        <v>586</v>
      </c>
      <c r="C17" t="s">
        <v>17</v>
      </c>
      <c r="D17" s="41"/>
      <c r="E17" s="40"/>
      <c r="G17"/>
      <c r="H17"/>
      <c r="I17"/>
      <c r="J17" s="6"/>
      <c r="K17" s="6"/>
      <c r="L17" s="6"/>
      <c r="M17" s="13"/>
      <c r="N17" s="13"/>
      <c r="S17" s="10"/>
    </row>
    <row r="18" spans="1:29" s="11" customFormat="1" x14ac:dyDescent="0.35">
      <c r="A18"/>
      <c r="B18" s="6"/>
      <c r="C18"/>
      <c r="D18"/>
      <c r="E18"/>
      <c r="F18"/>
      <c r="G18"/>
      <c r="H18"/>
      <c r="I18"/>
      <c r="J18" s="6"/>
      <c r="K18" s="6"/>
      <c r="L18" s="6"/>
      <c r="M18" s="13"/>
      <c r="N18" s="13"/>
      <c r="U18" t="s">
        <v>40</v>
      </c>
    </row>
    <row r="19" spans="1:29" s="11" customFormat="1" x14ac:dyDescent="0.35">
      <c r="A19"/>
      <c r="B19" s="6"/>
      <c r="C19"/>
      <c r="D19"/>
      <c r="E19"/>
      <c r="F19"/>
      <c r="G19"/>
      <c r="H19"/>
      <c r="I19"/>
      <c r="J19" s="6"/>
      <c r="K19" s="6"/>
      <c r="L19" s="6"/>
      <c r="M19" s="13"/>
      <c r="N19" s="13"/>
    </row>
    <row r="20" spans="1:29" s="11" customFormat="1" x14ac:dyDescent="0.35">
      <c r="A20"/>
      <c r="B20" s="6"/>
      <c r="C20"/>
      <c r="D20"/>
      <c r="E20"/>
      <c r="F20"/>
      <c r="G20"/>
      <c r="H20"/>
      <c r="I20"/>
      <c r="J20" s="6"/>
      <c r="K20" s="6"/>
      <c r="U20" s="14" t="s">
        <v>41</v>
      </c>
    </row>
    <row r="21" spans="1:29" s="11" customFormat="1" x14ac:dyDescent="0.35">
      <c r="A21"/>
      <c r="B21" s="6"/>
      <c r="C21"/>
      <c r="D21"/>
      <c r="E21"/>
      <c r="F21"/>
      <c r="G21"/>
      <c r="H21"/>
      <c r="I21"/>
      <c r="J21"/>
      <c r="L21" s="6"/>
      <c r="M21" s="13"/>
      <c r="N21" s="13"/>
      <c r="U21" t="s">
        <v>42</v>
      </c>
      <c r="Y21" s="15">
        <f>E9</f>
        <v>604.79999999999995</v>
      </c>
    </row>
    <row r="22" spans="1:29" s="11" customFormat="1" x14ac:dyDescent="0.35">
      <c r="A22"/>
      <c r="B22"/>
      <c r="C22"/>
      <c r="D22"/>
      <c r="E22"/>
      <c r="F22"/>
      <c r="G22"/>
      <c r="H22"/>
      <c r="I22"/>
      <c r="J22" s="6"/>
      <c r="K22" s="6"/>
      <c r="L22" s="6"/>
      <c r="M22" s="13"/>
      <c r="N22" s="13"/>
      <c r="U22" t="s">
        <v>43</v>
      </c>
      <c r="Y22" s="15">
        <f>E12</f>
        <v>0.193</v>
      </c>
    </row>
    <row r="23" spans="1:29" s="11" customFormat="1" x14ac:dyDescent="0.35">
      <c r="A23"/>
      <c r="B23"/>
      <c r="C23"/>
      <c r="D23"/>
      <c r="E23"/>
      <c r="F23"/>
      <c r="G23"/>
      <c r="H23"/>
      <c r="I23"/>
      <c r="J23" s="6"/>
      <c r="K23" s="6"/>
      <c r="L23" s="6"/>
      <c r="M23" s="13"/>
      <c r="N23" s="13"/>
      <c r="U23" t="s">
        <v>45</v>
      </c>
      <c r="Y23" s="11">
        <v>20</v>
      </c>
    </row>
    <row r="24" spans="1:29" s="11" customFormat="1" x14ac:dyDescent="0.35">
      <c r="A24"/>
      <c r="B24"/>
      <c r="C24"/>
      <c r="D24"/>
      <c r="E24"/>
      <c r="F24"/>
      <c r="G24"/>
      <c r="H24"/>
      <c r="I24"/>
      <c r="J24" s="6"/>
      <c r="K24" s="6"/>
      <c r="L24" s="6"/>
      <c r="M24" s="13"/>
      <c r="N24" s="13"/>
      <c r="U24"/>
    </row>
    <row r="25" spans="1:29" s="11" customFormat="1" x14ac:dyDescent="0.35">
      <c r="A25"/>
      <c r="B25"/>
      <c r="C25"/>
      <c r="D25"/>
      <c r="E25"/>
      <c r="F25"/>
      <c r="G25"/>
      <c r="H25"/>
      <c r="I25"/>
      <c r="K25"/>
      <c r="L25"/>
      <c r="M25"/>
      <c r="N25" s="6"/>
      <c r="O25" s="6"/>
      <c r="P25" s="6"/>
      <c r="Q25" s="13"/>
      <c r="R25" s="13"/>
      <c r="S25" s="13"/>
      <c r="T25" s="13"/>
      <c r="Y25" t="s">
        <v>46</v>
      </c>
      <c r="AC25" s="16">
        <f>Y21*Y22*Y23/1000</f>
        <v>2.3345279999999997</v>
      </c>
    </row>
    <row r="26" spans="1:29" s="11" customFormat="1" x14ac:dyDescent="0.35">
      <c r="A26"/>
      <c r="B26" s="6"/>
      <c r="C26"/>
      <c r="D26"/>
      <c r="E26"/>
      <c r="F26"/>
      <c r="G26"/>
      <c r="H26"/>
      <c r="I26"/>
      <c r="K26"/>
      <c r="L26"/>
      <c r="M26"/>
      <c r="N26" s="6"/>
      <c r="O26" s="6"/>
      <c r="Y26" t="s">
        <v>47</v>
      </c>
      <c r="AC26" s="11">
        <f>0.00035*20*150</f>
        <v>1.05</v>
      </c>
    </row>
    <row r="27" spans="1:29" s="11" customFormat="1" x14ac:dyDescent="0.35">
      <c r="A27"/>
      <c r="B27" s="6"/>
      <c r="C27"/>
      <c r="D27" s="6"/>
      <c r="E27" s="6"/>
      <c r="F27"/>
      <c r="G27"/>
      <c r="H27"/>
      <c r="I27"/>
      <c r="K27"/>
      <c r="L27"/>
      <c r="M27"/>
      <c r="N27"/>
    </row>
    <row r="28" spans="1:29" s="11" customFormat="1" x14ac:dyDescent="0.35">
      <c r="A28"/>
      <c r="B28" s="6"/>
      <c r="C28"/>
      <c r="D28" s="6"/>
      <c r="E28" s="13"/>
      <c r="F28" s="13"/>
      <c r="G28" s="13"/>
      <c r="H28"/>
      <c r="I28"/>
      <c r="K28"/>
      <c r="L28"/>
      <c r="M28"/>
      <c r="N28"/>
      <c r="Y28" t="s">
        <v>48</v>
      </c>
      <c r="Z28"/>
    </row>
    <row r="29" spans="1:29" s="11" customFormat="1" x14ac:dyDescent="0.35">
      <c r="A29"/>
      <c r="B29" s="6"/>
      <c r="C29"/>
      <c r="D29" s="6"/>
      <c r="E29"/>
      <c r="F29"/>
      <c r="G29"/>
      <c r="H29"/>
      <c r="I29"/>
      <c r="K29"/>
      <c r="L29"/>
      <c r="M29"/>
      <c r="N29"/>
      <c r="Y29"/>
      <c r="Z29"/>
    </row>
    <row r="30" spans="1:29" s="11" customFormat="1" x14ac:dyDescent="0.35">
      <c r="A30"/>
      <c r="B30" s="6"/>
      <c r="C30"/>
      <c r="D30" s="6"/>
      <c r="E30"/>
      <c r="F30"/>
      <c r="G30"/>
      <c r="H30"/>
      <c r="I30"/>
      <c r="K30"/>
      <c r="L30"/>
      <c r="M30"/>
      <c r="N30"/>
      <c r="Y30" s="17" t="s">
        <v>49</v>
      </c>
      <c r="Z30" s="17">
        <v>110</v>
      </c>
      <c r="AB30" s="4">
        <f>Z30*$G$11*$G$12</f>
        <v>0</v>
      </c>
    </row>
    <row r="31" spans="1:29" x14ac:dyDescent="0.35">
      <c r="O31" s="11"/>
      <c r="Y31" s="17" t="s">
        <v>50</v>
      </c>
      <c r="Z31" s="17" t="s">
        <v>51</v>
      </c>
      <c r="AB31" s="4"/>
    </row>
    <row r="32" spans="1:29" x14ac:dyDescent="0.35">
      <c r="A32" s="49"/>
      <c r="B32" s="51" t="s">
        <v>21</v>
      </c>
      <c r="C32">
        <v>188</v>
      </c>
      <c r="D32" s="29" t="s">
        <v>53</v>
      </c>
      <c r="Y32" s="18">
        <v>20</v>
      </c>
      <c r="Z32" s="18" t="s">
        <v>52</v>
      </c>
      <c r="AB32" s="4"/>
    </row>
    <row r="33" spans="1:35" x14ac:dyDescent="0.35">
      <c r="A33" s="51" t="s">
        <v>26</v>
      </c>
      <c r="B33" s="51" t="s">
        <v>21</v>
      </c>
      <c r="C33" s="9">
        <v>415</v>
      </c>
      <c r="D33" s="29" t="s">
        <v>53</v>
      </c>
      <c r="Y33" s="18">
        <v>30</v>
      </c>
      <c r="Z33" s="18" t="s">
        <v>54</v>
      </c>
      <c r="AB33" s="4"/>
    </row>
    <row r="34" spans="1:35" x14ac:dyDescent="0.35">
      <c r="A34" s="28"/>
      <c r="B34" s="29" t="s">
        <v>55</v>
      </c>
      <c r="C34" s="9">
        <v>0.2</v>
      </c>
      <c r="D34" s="29" t="s">
        <v>56</v>
      </c>
      <c r="Y34" s="18">
        <v>40</v>
      </c>
      <c r="Z34" s="18" t="s">
        <v>57</v>
      </c>
      <c r="AB34" s="4"/>
    </row>
    <row r="35" spans="1:35" x14ac:dyDescent="0.35">
      <c r="A35" s="28"/>
      <c r="B35" s="29" t="s">
        <v>58</v>
      </c>
      <c r="C35">
        <v>20</v>
      </c>
      <c r="D35" s="29" t="s">
        <v>59</v>
      </c>
      <c r="Y35" s="18"/>
      <c r="Z35" s="18"/>
      <c r="AB35" s="4"/>
    </row>
    <row r="36" spans="1:35" x14ac:dyDescent="0.35">
      <c r="A36" s="28"/>
      <c r="B36" s="29" t="s">
        <v>60</v>
      </c>
      <c r="C36">
        <v>150</v>
      </c>
      <c r="D36" s="29" t="s">
        <v>22</v>
      </c>
      <c r="Y36" s="18"/>
      <c r="Z36" s="18"/>
      <c r="AB36" s="4"/>
    </row>
    <row r="37" spans="1:35" x14ac:dyDescent="0.35">
      <c r="A37" s="28"/>
      <c r="B37" s="29" t="s">
        <v>61</v>
      </c>
      <c r="C37">
        <v>35</v>
      </c>
      <c r="D37" s="29" t="s">
        <v>59</v>
      </c>
      <c r="Y37" s="18"/>
      <c r="Z37" s="18"/>
      <c r="AB37" s="4"/>
    </row>
    <row r="38" spans="1:35" x14ac:dyDescent="0.35">
      <c r="A38" s="28"/>
      <c r="B38" s="29" t="s">
        <v>62</v>
      </c>
      <c r="C38">
        <v>-14</v>
      </c>
      <c r="D38" s="29" t="s">
        <v>59</v>
      </c>
      <c r="Y38" s="18"/>
      <c r="Z38" s="18"/>
      <c r="AB38" s="4"/>
    </row>
    <row r="39" spans="1:35" x14ac:dyDescent="0.35">
      <c r="A39" s="28"/>
      <c r="B39" s="30" t="s">
        <v>63</v>
      </c>
      <c r="C39">
        <v>5000</v>
      </c>
      <c r="D39" s="29" t="s">
        <v>44</v>
      </c>
      <c r="L39" s="20">
        <v>150</v>
      </c>
      <c r="M39" s="20">
        <v>0</v>
      </c>
      <c r="N39" s="20">
        <v>50</v>
      </c>
      <c r="O39" s="20">
        <v>150</v>
      </c>
      <c r="P39" s="20">
        <v>250</v>
      </c>
      <c r="Q39" s="20">
        <v>150</v>
      </c>
      <c r="AE39" s="18"/>
      <c r="AF39" s="18"/>
      <c r="AH39" s="4"/>
    </row>
    <row r="40" spans="1:35" x14ac:dyDescent="0.35">
      <c r="A40" s="28"/>
      <c r="B40" s="30" t="s">
        <v>64</v>
      </c>
      <c r="C40">
        <v>1500</v>
      </c>
      <c r="D40" s="29" t="s">
        <v>44</v>
      </c>
      <c r="J40"/>
      <c r="K40" s="11"/>
      <c r="AD40" s="18"/>
      <c r="AE40" s="18"/>
      <c r="AG40" s="4"/>
    </row>
    <row r="41" spans="1:35" s="21" customFormat="1" ht="25" x14ac:dyDescent="0.35">
      <c r="A41" s="28"/>
      <c r="B41" s="30" t="s">
        <v>86</v>
      </c>
      <c r="C41">
        <v>7</v>
      </c>
      <c r="D41" s="29" t="s">
        <v>59</v>
      </c>
      <c r="E41"/>
      <c r="F41"/>
      <c r="G41"/>
      <c r="H41"/>
      <c r="I41"/>
      <c r="J41"/>
      <c r="K41" s="11"/>
      <c r="L41" s="20"/>
      <c r="M41" s="20"/>
      <c r="N41" s="20"/>
      <c r="O41" s="20"/>
      <c r="P41" s="20"/>
      <c r="Q41" s="20"/>
      <c r="R41" s="20"/>
      <c r="T41" s="22"/>
      <c r="U41" s="20"/>
      <c r="V41" s="20"/>
      <c r="W41" s="20"/>
      <c r="X41" s="20"/>
      <c r="Y41" s="20"/>
      <c r="Z41" s="20"/>
      <c r="AA41" s="20"/>
      <c r="AB41" s="20"/>
      <c r="AF41" s="18"/>
      <c r="AG41" s="18"/>
      <c r="AI41" s="19"/>
    </row>
    <row r="42" spans="1:35" ht="101.5" x14ac:dyDescent="0.35">
      <c r="A42" s="19"/>
      <c r="B42" s="19" t="s">
        <v>65</v>
      </c>
      <c r="C42" s="27" t="s">
        <v>66</v>
      </c>
      <c r="D42" s="27" t="s">
        <v>67</v>
      </c>
      <c r="E42" s="27" t="s">
        <v>68</v>
      </c>
      <c r="F42" s="27" t="s">
        <v>69</v>
      </c>
      <c r="G42" s="27" t="s">
        <v>70</v>
      </c>
      <c r="H42" s="27" t="s">
        <v>71</v>
      </c>
      <c r="I42" s="27" t="s">
        <v>72</v>
      </c>
      <c r="J42" s="23" t="s">
        <v>73</v>
      </c>
      <c r="K42" s="20" t="str">
        <f t="shared" ref="K42:K83" si="4">B42</f>
        <v>T_ute</v>
      </c>
      <c r="L42" s="20" t="s">
        <v>74</v>
      </c>
      <c r="M42" s="20" t="s">
        <v>75</v>
      </c>
      <c r="N42" s="20" t="s">
        <v>76</v>
      </c>
      <c r="O42" s="20" t="s">
        <v>77</v>
      </c>
      <c r="P42" s="20" t="s">
        <v>78</v>
      </c>
      <c r="Q42" s="20" t="s">
        <v>79</v>
      </c>
      <c r="R42" s="20" t="s">
        <v>80</v>
      </c>
      <c r="S42" s="24"/>
      <c r="T42" s="22"/>
      <c r="U42" s="22"/>
      <c r="V42" s="22"/>
      <c r="W42" s="22"/>
      <c r="X42" s="22"/>
      <c r="Y42" s="22"/>
      <c r="Z42" s="22"/>
      <c r="AA42" s="22"/>
      <c r="AB42" s="22"/>
      <c r="AF42" s="17"/>
      <c r="AG42" s="17"/>
      <c r="AI42" s="4"/>
    </row>
    <row r="43" spans="1:35" x14ac:dyDescent="0.35">
      <c r="B43" s="6">
        <v>-20</v>
      </c>
      <c r="C43" s="42">
        <f>$C$33*$C$34*($C$35-B43)/1000+$C$32*$C$34*($C$35-$C$41)/1000</f>
        <v>3.8087999999999997</v>
      </c>
      <c r="D43" s="42">
        <f>$C$36*0.00035*($C$35-B43)</f>
        <v>2.1</v>
      </c>
      <c r="E43" s="8">
        <f>C43+D43</f>
        <v>5.9087999999999994</v>
      </c>
      <c r="F43" s="42">
        <f t="shared" ref="F43:F83" si="5">1/(1-((273+$B43)/(273+$C$37)))/2</f>
        <v>2.7999999999999994</v>
      </c>
      <c r="G43" s="8">
        <f t="shared" ref="G43:G83" si="6">$C$36*0.00035*((IF(C$38&gt;B43,0,$C$35-C$38)))*(F43-1)/F43</f>
        <v>0</v>
      </c>
      <c r="H43" s="43">
        <f t="shared" ref="H43:H83" si="7">($C$39/2-$C$40)/24/365</f>
        <v>0.11415525114155251</v>
      </c>
      <c r="I43" s="43">
        <f t="shared" ref="I43:I83" si="8">1/(1-((273+$B43)/(273+$C$37+20)))/2</f>
        <v>2.186666666666667</v>
      </c>
      <c r="J43" s="25">
        <f>IF(E43-G43-H43&gt;0,E43-G43-H43,0)</f>
        <v>5.7946447488584472</v>
      </c>
      <c r="K43" s="26">
        <f t="shared" si="4"/>
        <v>-20</v>
      </c>
      <c r="L43" s="22">
        <f>IF($C$33*$C$34*($C$35-$K43)/1000+$C$32*$C$34*($C$35-$C$41)/1000+L$39*0.00035*($C$35-$K43)-($C$39/2-$C$40)/24/365&gt;0,$C$33*$C$34*($C$35-$K43)/1000+$C$32*$C$34*($C$35-$C$41)/1000+L$39*0.00035*($C$35-$K43)-($C$39/2-$C$40)/24/365,0)</f>
        <v>5.7946447488584472</v>
      </c>
      <c r="M43" s="22">
        <f>IF($C$33*$C$34*($C$35-$K43)/1000+$C$32*$C$34*($C$35-$C$41)/1000+M$39*0.00035*($C$35-$K43)-M$39*0.00035*((IF($C$38&gt;$K43,0,$C$35-$C$38)))*((1/(1-((273+$C$38)/(273+$C$37)))/2)-1)/(1/(1-((273+$C$38)/(273+$C$37)))/2)-($C$39/2-$C$40)/24/365&gt;0,$C$33*$C$34*($C$35-$K43)/1000+$C$32*$C$34*($C$35-$C$41)/1000+M$39*0.00035*($C$35-$K43)-M$39*0.00035*((IF($C$38&gt;$K43,0,$C$35-$C$38)))*((1/(1-((273+$C$38)/(273+$C$37)))/2)-1)/(1/(1-((273+$C$38)/(273+$C$37)))/2)-($C$39/2-$C$40)/24/365,0)</f>
        <v>3.6946447488584471</v>
      </c>
      <c r="N43" s="22">
        <f t="shared" ref="N43:Q62" si="9">IF($C$33*$C$34*($C$35-$K43)/1000+$C$32*$C$34*($C$35-$C$41)/1000+N$39*0.00035*($C$35-$K43)-N$39*0.00035*((IF($C$38&gt;$K43,0,$C$35-$C$38)))*((1/(1-((273+$C$38)/(273+$C$37)))/2)-1)/(1/(1-((273+$C$38)/(273+$C$37)))/2)-($C$39/2-$C$40)/24/365&gt;0,$C$33*$C$34*($C$35-$K43)/1000+$C$32*$C$34*($C$35-$C$41)/1000+N$39*0.00035*($C$35-$K43)-N$39*0.00035*((IF($C$38&gt;$K43,0,$C$35-$C$38)))*((1/(1-((273+$C$38)/(273+$C$37)))/2)-1)/(1/(1-((273+$C$38)/(273+$C$37)))/2)-($C$39/2-$C$40)/24/365,0)</f>
        <v>4.3946447488584477</v>
      </c>
      <c r="O43" s="22">
        <f t="shared" si="9"/>
        <v>5.7946447488584472</v>
      </c>
      <c r="P43" s="22">
        <f t="shared" si="9"/>
        <v>7.1946447488584475</v>
      </c>
      <c r="Q43" s="22">
        <f>(IF($C$33*$C$34*($C$35-$K43)/1000+$C$32*$C$34*($C$35-$C$41)/1000+Q$39*0.00035*($C$35-$K43)-Q$39*0.00035*((IF($C$38&gt;$K43,0,$C$35-$C$38)))*((1/(1-((273+$C$38)/(273+$C$37)))/2)-1)/(1/(1-((273+$C$38)/(273+$C$37)))/2)-($C$39/2-$C$40)/24/365&gt;0,$C$33*$C$34*($C$35-$K43)/1000+$C$32*$C$34*($C$35-$C$41)/1000+Q$39*0.00035*($C$35-$K43)-Q$39*0.00035*((IF($C$38&gt;$K43,0,$C$35-$C$38)))*((1/(1-((273+$C$38)/(273+$C$37)))/2)-1)/(1/(1-((273+$C$38)/(273+$C$37)))/2)-($C$39/2-$C$40)/24/365,0))/(1/(1-((273+$B43)/(273+$C$37+15)))/2)</f>
        <v>2.5116107270593879</v>
      </c>
      <c r="R43" s="22"/>
      <c r="S43" s="24"/>
      <c r="T43" s="22"/>
      <c r="U43" s="22"/>
      <c r="V43" s="22"/>
      <c r="W43" s="22"/>
      <c r="X43" s="22"/>
      <c r="Y43" s="22"/>
      <c r="Z43" s="22"/>
      <c r="AA43" s="22"/>
      <c r="AB43" s="22"/>
      <c r="AF43" s="17"/>
      <c r="AG43" s="17"/>
      <c r="AI43" s="4"/>
    </row>
    <row r="44" spans="1:35" x14ac:dyDescent="0.35">
      <c r="B44" s="6">
        <v>-19</v>
      </c>
      <c r="C44" s="42">
        <f>$C$33*$C$34*($C$35-B44)/1000+$C$32*$C$34*($C$35-$C$41)/1000</f>
        <v>3.7258</v>
      </c>
      <c r="D44" s="42">
        <f>$C$36*0.00035*($C$35-B44)</f>
        <v>2.0474999999999999</v>
      </c>
      <c r="E44" s="8">
        <f>C44+D44</f>
        <v>5.7732999999999999</v>
      </c>
      <c r="F44" s="42">
        <f t="shared" si="5"/>
        <v>2.8518518518518516</v>
      </c>
      <c r="G44" s="8">
        <f t="shared" si="6"/>
        <v>0</v>
      </c>
      <c r="H44" s="43">
        <f t="shared" si="7"/>
        <v>0.11415525114155251</v>
      </c>
      <c r="I44" s="43">
        <f t="shared" si="8"/>
        <v>2.2162162162162162</v>
      </c>
      <c r="J44" s="25">
        <f>IF(E44-G44-H44&gt;0,E44-G44-H44,0)</f>
        <v>5.6591447488584476</v>
      </c>
      <c r="K44" s="26">
        <f t="shared" si="4"/>
        <v>-19</v>
      </c>
      <c r="L44" s="22">
        <f>IF($C$33*$C$34*($C$35-$K44)/1000+$C$32*$C$34*($C$35-$C$41)/1000+L$39*0.00035*($C$35-$K44)-($C$39/2-$C$40)/24/365&gt;0,$C$33*$C$34*($C$35-$K44)/1000+$C$32*$C$34*($C$35-$C$41)/1000+L$39*0.00035*($C$35-$K44)-($C$39/2-$C$40)/24/365,0)</f>
        <v>5.6591447488584476</v>
      </c>
      <c r="M44" s="22">
        <f t="shared" ref="M44:M59" si="10">IF($C$33*$C$34*($C$35-$K44)/1000+$C$32*$C$34*($C$35-$C$41)/1000+M$39*0.00035*($C$35-$K44)-M$39*0.00035*((IF($C$38&gt;$K44,0,$C$35-$C$38)))*((1/(1-((273+$C$38)/(273+$C$37)))/2)-1)/(1/(1-((273+$C$38)/(273+$C$37)))/2)-($C$39/2-$C$40)/24/365&gt;0,$C$33*$C$34*($C$35-$K44)/1000+$C$32*$C$34*($C$35-$C$41)/1000+M$39*0.00035*($C$35-$K44)-M$39*0.00035*((IF($C$38&gt;$K44,0,$C$35-$C$38)))*((1/(1-((273+$C$38)/(273+$C$37)))/2)-1)/(1/(1-((273+$C$38)/(273+$C$37)))/2)-($C$39/2-$C$40)/24/365,0)</f>
        <v>3.6116447488584473</v>
      </c>
      <c r="N44" s="22">
        <f t="shared" si="9"/>
        <v>4.2941447488584474</v>
      </c>
      <c r="O44" s="22">
        <f t="shared" si="9"/>
        <v>5.6591447488584476</v>
      </c>
      <c r="P44" s="22">
        <f t="shared" si="9"/>
        <v>7.024144748858447</v>
      </c>
      <c r="Q44" s="22">
        <f t="shared" ref="Q44:Q83" si="11">(IF($C$33*$C$34*($C$35-$K44)/1000+$C$32*$C$34*($C$35-$C$41)/1000+Q$39*0.00035*($C$35-$K44)-Q$39*0.00035*((IF($C$38&gt;$K44,0,$C$35-$C$38)))*((1/(1-((273+$C$38)/(273+$C$37)))/2)-1)/(1/(1-((273+$C$38)/(273+$C$37)))/2)-($C$39/2-$C$40)/24/365&gt;0,$C$33*$C$34*($C$35-$K44)/1000+$C$32*$C$34*($C$35-$C$41)/1000+Q$39*0.00035*($C$35-$K44)-Q$39*0.00035*((IF($C$38&gt;$K44,0,$C$35-$C$38)))*((1/(1-((273+$C$38)/(273+$C$37)))/2)-1)/(1/(1-((273+$C$38)/(273+$C$37)))/2)-($C$39/2-$C$40)/24/365,0))/(1/(1-((273+$B44)/(273+$C$37+15)))/2)</f>
        <v>2.4178389329488108</v>
      </c>
      <c r="R44" s="22"/>
      <c r="S44" s="24">
        <f t="shared" ref="S44:S62" si="12">$C$33*$C$34*($C$35-B45)/1000+$C$36*0.00035*($C$35-B45)-$C$36*0.00035*((IF(C$38&lt;-14,0,$C$35-C$38)))*((1/(1-((273+$C$38)/(273+$C$37)))/2)-1)/(1/(1-((273+$C$38)/(273+$C$37)))/2)-$C$39/2/24/365</f>
        <v>3.6465664176006642</v>
      </c>
      <c r="AF44" s="18"/>
      <c r="AG44" s="18"/>
      <c r="AI44" s="4"/>
    </row>
    <row r="45" spans="1:35" x14ac:dyDescent="0.35">
      <c r="B45" s="6">
        <v>-18</v>
      </c>
      <c r="C45" s="42">
        <f t="shared" ref="C45:C83" si="13">$C$33*$C$34*($C$35-B45)/1000+$C$32*$C$34*($C$35-$C$41)/1000</f>
        <v>3.6427999999999998</v>
      </c>
      <c r="D45" s="42">
        <f>$C$36*0.00035*($C$35-B45)</f>
        <v>1.9949999999999999</v>
      </c>
      <c r="E45" s="8">
        <f>C45+D45</f>
        <v>5.6377999999999995</v>
      </c>
      <c r="F45" s="42">
        <f t="shared" si="5"/>
        <v>2.9056603773584908</v>
      </c>
      <c r="G45" s="8">
        <f t="shared" si="6"/>
        <v>0</v>
      </c>
      <c r="H45" s="43">
        <f t="shared" si="7"/>
        <v>0.11415525114155251</v>
      </c>
      <c r="I45" s="43">
        <f t="shared" si="8"/>
        <v>2.2465753424657535</v>
      </c>
      <c r="J45" s="25">
        <f>IF(E45-G45-H45&gt;0,E45-G45-H45,0)</f>
        <v>5.5236447488584473</v>
      </c>
      <c r="K45" s="26">
        <f t="shared" si="4"/>
        <v>-18</v>
      </c>
      <c r="L45" s="22">
        <f t="shared" ref="L45:L83" si="14">IF($C$33*$C$34*($C$35-$K45)/1000+$C$32*$C$34*($C$35-$C$41)/1000+L$39*0.00035*($C$35-$K45)-($C$39/2-$C$40)/24/365&gt;0,$C$33*$C$34*($C$35-$K45)/1000+$C$32*$C$34*($C$35-$C$41)/1000+L$39*0.00035*($C$35-$K45)-($C$39/2-$C$40)/24/365,0)</f>
        <v>5.5236447488584473</v>
      </c>
      <c r="M45" s="22">
        <f t="shared" si="10"/>
        <v>3.5286447488584471</v>
      </c>
      <c r="N45" s="22">
        <f t="shared" si="9"/>
        <v>4.1936447488584472</v>
      </c>
      <c r="O45" s="22">
        <f t="shared" si="9"/>
        <v>5.5236447488584473</v>
      </c>
      <c r="P45" s="22">
        <f t="shared" si="9"/>
        <v>6.8536447488584473</v>
      </c>
      <c r="Q45" s="22">
        <f t="shared" si="11"/>
        <v>2.3257451574140831</v>
      </c>
      <c r="R45" s="22"/>
      <c r="S45" s="24">
        <f t="shared" si="12"/>
        <v>3.5110664176006647</v>
      </c>
      <c r="AF45" s="18"/>
      <c r="AG45" s="18"/>
      <c r="AI45" s="4"/>
    </row>
    <row r="46" spans="1:35" x14ac:dyDescent="0.35">
      <c r="B46" s="6">
        <v>-17</v>
      </c>
      <c r="C46" s="42">
        <f t="shared" si="13"/>
        <v>3.5598000000000001</v>
      </c>
      <c r="D46" s="42">
        <f>$C$36*0.00035*($C$35-B46)</f>
        <v>1.9424999999999999</v>
      </c>
      <c r="E46" s="8">
        <f>C46+D46</f>
        <v>5.5023</v>
      </c>
      <c r="F46" s="42">
        <f t="shared" si="5"/>
        <v>2.9615384615384626</v>
      </c>
      <c r="G46" s="8">
        <f t="shared" si="6"/>
        <v>0</v>
      </c>
      <c r="H46" s="43">
        <f t="shared" si="7"/>
        <v>0.11415525114155251</v>
      </c>
      <c r="I46" s="43">
        <f t="shared" si="8"/>
        <v>2.2777777777777781</v>
      </c>
      <c r="J46" s="25">
        <f>IF(E46-G46-H46&gt;0,E46-G46-H46,0)</f>
        <v>5.3881447488584477</v>
      </c>
      <c r="K46" s="26">
        <f t="shared" si="4"/>
        <v>-17</v>
      </c>
      <c r="L46" s="22">
        <f t="shared" si="14"/>
        <v>5.3881447488584477</v>
      </c>
      <c r="M46" s="22">
        <f t="shared" si="10"/>
        <v>3.4456447488584474</v>
      </c>
      <c r="N46" s="22">
        <f t="shared" si="9"/>
        <v>4.0931447488584478</v>
      </c>
      <c r="O46" s="22">
        <f t="shared" si="9"/>
        <v>5.3881447488584477</v>
      </c>
      <c r="P46" s="22">
        <f t="shared" si="9"/>
        <v>6.6831447488584477</v>
      </c>
      <c r="Q46" s="22">
        <f t="shared" si="11"/>
        <v>2.2353294004552069</v>
      </c>
      <c r="R46" s="22"/>
      <c r="S46" s="24">
        <f t="shared" si="12"/>
        <v>3.3755664176006643</v>
      </c>
      <c r="AF46" s="18"/>
      <c r="AG46" s="18"/>
      <c r="AI46" s="4"/>
    </row>
    <row r="47" spans="1:35" x14ac:dyDescent="0.35">
      <c r="B47" s="6">
        <v>-16</v>
      </c>
      <c r="C47" s="42">
        <f t="shared" si="13"/>
        <v>3.4767999999999999</v>
      </c>
      <c r="D47" s="42">
        <f>$C$36*0.00035*($C$35-B47)</f>
        <v>1.89</v>
      </c>
      <c r="E47" s="8">
        <f>C47+D47</f>
        <v>5.3667999999999996</v>
      </c>
      <c r="F47" s="42">
        <f t="shared" si="5"/>
        <v>3.0196078431372544</v>
      </c>
      <c r="G47" s="8">
        <f t="shared" si="6"/>
        <v>0</v>
      </c>
      <c r="H47" s="43">
        <f t="shared" si="7"/>
        <v>0.11415525114155251</v>
      </c>
      <c r="I47" s="43">
        <f t="shared" si="8"/>
        <v>2.3098591549295779</v>
      </c>
      <c r="J47" s="25">
        <f>IF(E47-G47-H47&gt;0,E47-G47-H47,0)</f>
        <v>5.2526447488584473</v>
      </c>
      <c r="K47" s="26">
        <f t="shared" si="4"/>
        <v>-16</v>
      </c>
      <c r="L47" s="22">
        <f t="shared" si="14"/>
        <v>5.2526447488584473</v>
      </c>
      <c r="M47" s="22">
        <f t="shared" si="10"/>
        <v>3.3626447488584472</v>
      </c>
      <c r="N47" s="22">
        <f t="shared" si="9"/>
        <v>3.9926447488584471</v>
      </c>
      <c r="O47" s="22">
        <f t="shared" si="9"/>
        <v>5.2526447488584473</v>
      </c>
      <c r="P47" s="22">
        <f t="shared" si="9"/>
        <v>6.5126447488584471</v>
      </c>
      <c r="Q47" s="22">
        <f t="shared" si="11"/>
        <v>2.1465916620721828</v>
      </c>
      <c r="R47" s="22"/>
      <c r="S47" s="24">
        <f t="shared" si="12"/>
        <v>3.2400664176006639</v>
      </c>
      <c r="AF47" s="18"/>
      <c r="AG47" s="18"/>
      <c r="AI47" s="4"/>
    </row>
    <row r="48" spans="1:35" x14ac:dyDescent="0.35">
      <c r="B48" s="6">
        <v>-15</v>
      </c>
      <c r="C48" s="42">
        <f t="shared" si="13"/>
        <v>3.3937999999999997</v>
      </c>
      <c r="D48" s="42">
        <f>$C$36*0.00035*($C$35-B48)</f>
        <v>1.8374999999999999</v>
      </c>
      <c r="E48" s="8">
        <f>C48+D48</f>
        <v>5.2312999999999992</v>
      </c>
      <c r="F48" s="42">
        <f t="shared" si="5"/>
        <v>3.08</v>
      </c>
      <c r="G48" s="8">
        <f t="shared" si="6"/>
        <v>0</v>
      </c>
      <c r="H48" s="43">
        <f t="shared" si="7"/>
        <v>0.11415525114155251</v>
      </c>
      <c r="I48" s="43">
        <f t="shared" si="8"/>
        <v>2.3428571428571434</v>
      </c>
      <c r="J48" s="25">
        <f>IF(E48-G48-H48&gt;0,E48-G48-H48,0)</f>
        <v>5.1171447488584469</v>
      </c>
      <c r="K48" s="26">
        <f t="shared" si="4"/>
        <v>-15</v>
      </c>
      <c r="L48" s="22">
        <f t="shared" si="14"/>
        <v>5.1171447488584469</v>
      </c>
      <c r="M48" s="22">
        <f t="shared" si="10"/>
        <v>3.279644748858447</v>
      </c>
      <c r="N48" s="22">
        <f t="shared" si="9"/>
        <v>3.8921447488584469</v>
      </c>
      <c r="O48" s="22">
        <f t="shared" si="9"/>
        <v>5.1171447488584469</v>
      </c>
      <c r="P48" s="22">
        <f t="shared" si="9"/>
        <v>6.3421447488584475</v>
      </c>
      <c r="Q48" s="22">
        <f t="shared" si="11"/>
        <v>2.0595319422650094</v>
      </c>
      <c r="R48" s="22"/>
      <c r="S48" s="24">
        <f t="shared" si="12"/>
        <v>3.1045664176006644</v>
      </c>
      <c r="AF48" s="18"/>
      <c r="AG48" s="18"/>
      <c r="AI48" s="4"/>
    </row>
    <row r="49" spans="1:35" x14ac:dyDescent="0.35">
      <c r="B49" s="6">
        <v>-14</v>
      </c>
      <c r="C49" s="42">
        <f t="shared" si="13"/>
        <v>3.3108</v>
      </c>
      <c r="D49" s="42">
        <f>$C$36*0.00035*($C$35-B49)</f>
        <v>1.7849999999999999</v>
      </c>
      <c r="E49" s="8">
        <f>C49+D49</f>
        <v>5.0957999999999997</v>
      </c>
      <c r="F49" s="42">
        <f t="shared" si="5"/>
        <v>3.1428571428571432</v>
      </c>
      <c r="G49" s="8">
        <f t="shared" si="6"/>
        <v>1.2170454545454545</v>
      </c>
      <c r="H49" s="43">
        <f t="shared" si="7"/>
        <v>0.11415525114155251</v>
      </c>
      <c r="I49" s="43">
        <f t="shared" si="8"/>
        <v>2.3768115942028989</v>
      </c>
      <c r="J49" s="25">
        <f>IF(E49-G49-H49&gt;0,E49-G49-H49,0)</f>
        <v>3.7645992943129927</v>
      </c>
      <c r="K49" s="26">
        <f t="shared" si="4"/>
        <v>-14</v>
      </c>
      <c r="L49" s="22">
        <f t="shared" si="14"/>
        <v>4.9816447488584474</v>
      </c>
      <c r="M49" s="22">
        <f t="shared" si="10"/>
        <v>3.1966447488584473</v>
      </c>
      <c r="N49" s="22">
        <f t="shared" si="9"/>
        <v>3.3859629306766292</v>
      </c>
      <c r="O49" s="22">
        <f t="shared" si="9"/>
        <v>3.7645992943129927</v>
      </c>
      <c r="P49" s="22">
        <f t="shared" si="9"/>
        <v>4.143235657949357</v>
      </c>
      <c r="Q49" s="22">
        <f t="shared" si="11"/>
        <v>1.4918535903159844</v>
      </c>
      <c r="R49" s="22"/>
      <c r="S49" s="24">
        <f t="shared" si="12"/>
        <v>2.969066417600664</v>
      </c>
      <c r="AF49" s="18"/>
      <c r="AG49" s="18"/>
      <c r="AI49" s="4"/>
    </row>
    <row r="50" spans="1:35" x14ac:dyDescent="0.35">
      <c r="B50" s="6">
        <v>-13</v>
      </c>
      <c r="C50" s="42">
        <f t="shared" si="13"/>
        <v>3.2277999999999998</v>
      </c>
      <c r="D50" s="42">
        <f>$C$36*0.00035*($C$35-B50)</f>
        <v>1.7324999999999999</v>
      </c>
      <c r="E50" s="8">
        <f>C50+D50</f>
        <v>4.9603000000000002</v>
      </c>
      <c r="F50" s="42">
        <f t="shared" si="5"/>
        <v>3.2083333333333321</v>
      </c>
      <c r="G50" s="8">
        <f t="shared" si="6"/>
        <v>1.2286363636363633</v>
      </c>
      <c r="H50" s="43">
        <f t="shared" si="7"/>
        <v>0.11415525114155251</v>
      </c>
      <c r="I50" s="43">
        <f t="shared" si="8"/>
        <v>2.4117647058823533</v>
      </c>
      <c r="J50" s="25">
        <f>IF(E50-G50-H50&gt;0,E50-G50-H50,0)</f>
        <v>3.617508385222084</v>
      </c>
      <c r="K50" s="26">
        <f t="shared" si="4"/>
        <v>-13</v>
      </c>
      <c r="L50" s="22">
        <f t="shared" si="14"/>
        <v>4.8461447488584479</v>
      </c>
      <c r="M50" s="22">
        <f t="shared" si="10"/>
        <v>3.1136447488584471</v>
      </c>
      <c r="N50" s="22">
        <f t="shared" si="9"/>
        <v>3.285462930676629</v>
      </c>
      <c r="O50" s="22">
        <f t="shared" si="9"/>
        <v>3.6290992943129932</v>
      </c>
      <c r="P50" s="22">
        <f t="shared" si="9"/>
        <v>3.972735657949356</v>
      </c>
      <c r="Q50" s="22">
        <f t="shared" si="11"/>
        <v>1.4156857928279789</v>
      </c>
      <c r="R50" s="22"/>
      <c r="S50" s="24">
        <f t="shared" si="12"/>
        <v>2.8335664176006645</v>
      </c>
      <c r="AF50" s="17"/>
      <c r="AG50" s="17"/>
      <c r="AI50" s="4"/>
    </row>
    <row r="51" spans="1:35" x14ac:dyDescent="0.35">
      <c r="B51" s="6">
        <v>-12</v>
      </c>
      <c r="C51" s="42">
        <f t="shared" si="13"/>
        <v>3.1448</v>
      </c>
      <c r="D51" s="42">
        <f>$C$36*0.00035*($C$35-B51)</f>
        <v>1.68</v>
      </c>
      <c r="E51" s="8">
        <f>C51+D51</f>
        <v>4.8247999999999998</v>
      </c>
      <c r="F51" s="42">
        <f t="shared" si="5"/>
        <v>3.2765957446808507</v>
      </c>
      <c r="G51" s="8">
        <f t="shared" si="6"/>
        <v>1.2402272727272727</v>
      </c>
      <c r="H51" s="43">
        <f t="shared" si="7"/>
        <v>0.11415525114155251</v>
      </c>
      <c r="I51" s="43">
        <f t="shared" si="8"/>
        <v>2.4477611940298512</v>
      </c>
      <c r="J51" s="25">
        <f>IF(E51-G51-H51&gt;0,E51-G51-H51,0)</f>
        <v>3.4704174761311744</v>
      </c>
      <c r="K51" s="26">
        <f t="shared" si="4"/>
        <v>-12</v>
      </c>
      <c r="L51" s="22">
        <f t="shared" si="14"/>
        <v>4.7106447488584475</v>
      </c>
      <c r="M51" s="22">
        <f t="shared" si="10"/>
        <v>3.0306447488584474</v>
      </c>
      <c r="N51" s="22">
        <f t="shared" si="9"/>
        <v>3.1849629306766292</v>
      </c>
      <c r="O51" s="22">
        <f t="shared" si="9"/>
        <v>3.4935992943129928</v>
      </c>
      <c r="P51" s="22">
        <f t="shared" si="9"/>
        <v>3.8022356579493564</v>
      </c>
      <c r="Q51" s="22">
        <f t="shared" si="11"/>
        <v>1.3411960139158239</v>
      </c>
      <c r="R51" s="22"/>
      <c r="S51" s="24">
        <f t="shared" si="12"/>
        <v>2.6980664176006641</v>
      </c>
      <c r="AF51" s="17"/>
      <c r="AG51" s="17"/>
    </row>
    <row r="52" spans="1:35" x14ac:dyDescent="0.35">
      <c r="B52" s="6">
        <v>-11</v>
      </c>
      <c r="C52" s="42">
        <f t="shared" si="13"/>
        <v>3.0617999999999999</v>
      </c>
      <c r="D52" s="42">
        <f>$C$36*0.00035*($C$35-B52)</f>
        <v>1.6274999999999999</v>
      </c>
      <c r="E52" s="8">
        <f>C52+D52</f>
        <v>4.6892999999999994</v>
      </c>
      <c r="F52" s="42">
        <f t="shared" si="5"/>
        <v>3.347826086956522</v>
      </c>
      <c r="G52" s="8">
        <f t="shared" si="6"/>
        <v>1.2518181818181817</v>
      </c>
      <c r="H52" s="43">
        <f t="shared" si="7"/>
        <v>0.11415525114155251</v>
      </c>
      <c r="I52" s="43">
        <f t="shared" si="8"/>
        <v>2.4848484848484853</v>
      </c>
      <c r="J52" s="25">
        <f>IF(E52-G52-H52&gt;0,E52-G52-H52,0)</f>
        <v>3.3233265670402647</v>
      </c>
      <c r="K52" s="26">
        <f t="shared" si="4"/>
        <v>-11</v>
      </c>
      <c r="L52" s="22">
        <f t="shared" si="14"/>
        <v>4.5751447488584471</v>
      </c>
      <c r="M52" s="22">
        <f t="shared" si="10"/>
        <v>2.9476447488584472</v>
      </c>
      <c r="N52" s="22">
        <f t="shared" si="9"/>
        <v>3.0844629306766289</v>
      </c>
      <c r="O52" s="22">
        <f t="shared" si="9"/>
        <v>3.3580992943129924</v>
      </c>
      <c r="P52" s="22">
        <f t="shared" si="9"/>
        <v>3.6317356579493567</v>
      </c>
      <c r="Q52" s="22">
        <f t="shared" si="11"/>
        <v>1.2683842535795202</v>
      </c>
      <c r="R52" s="22"/>
      <c r="S52" s="24">
        <f t="shared" si="12"/>
        <v>2.5625664176006646</v>
      </c>
      <c r="AF52" s="18"/>
      <c r="AG52" s="18"/>
    </row>
    <row r="53" spans="1:35" x14ac:dyDescent="0.35">
      <c r="B53" s="6">
        <v>-10</v>
      </c>
      <c r="C53" s="42">
        <f t="shared" si="13"/>
        <v>2.9788000000000001</v>
      </c>
      <c r="D53" s="42">
        <f>$C$36*0.00035*($C$35-B53)</f>
        <v>1.575</v>
      </c>
      <c r="E53" s="8">
        <f>C53+D53</f>
        <v>4.5537999999999998</v>
      </c>
      <c r="F53" s="42">
        <f t="shared" si="5"/>
        <v>3.4222222222222229</v>
      </c>
      <c r="G53" s="8">
        <f t="shared" si="6"/>
        <v>1.2634090909090909</v>
      </c>
      <c r="H53" s="43">
        <f t="shared" si="7"/>
        <v>0.11415525114155251</v>
      </c>
      <c r="I53" s="43">
        <f t="shared" si="8"/>
        <v>2.5230769230769239</v>
      </c>
      <c r="J53" s="25">
        <f>IF(E53-G53-H53&gt;0,E53-G53-H53,0)</f>
        <v>3.176235657949356</v>
      </c>
      <c r="K53" s="26">
        <f t="shared" si="4"/>
        <v>-10</v>
      </c>
      <c r="L53" s="22">
        <f t="shared" si="14"/>
        <v>4.4396447488584476</v>
      </c>
      <c r="M53" s="22">
        <f t="shared" si="10"/>
        <v>2.8646447488584474</v>
      </c>
      <c r="N53" s="22">
        <f t="shared" si="9"/>
        <v>2.9839629306766291</v>
      </c>
      <c r="O53" s="22">
        <f t="shared" si="9"/>
        <v>3.2225992943129929</v>
      </c>
      <c r="P53" s="22">
        <f t="shared" si="9"/>
        <v>3.4612356579493562</v>
      </c>
      <c r="Q53" s="22">
        <f t="shared" si="11"/>
        <v>1.1972505118190688</v>
      </c>
      <c r="R53" s="22"/>
      <c r="S53" s="24">
        <f t="shared" si="12"/>
        <v>2.4270664176006642</v>
      </c>
      <c r="AF53" s="18"/>
      <c r="AG53" s="18"/>
    </row>
    <row r="54" spans="1:35" s="6" customFormat="1" x14ac:dyDescent="0.35">
      <c r="A54"/>
      <c r="B54" s="6">
        <v>-9</v>
      </c>
      <c r="C54" s="42">
        <f t="shared" si="13"/>
        <v>2.8957999999999999</v>
      </c>
      <c r="D54" s="42">
        <f>$C$36*0.00035*($C$35-B54)</f>
        <v>1.5225</v>
      </c>
      <c r="E54" s="8">
        <f>C54+D54</f>
        <v>4.4183000000000003</v>
      </c>
      <c r="F54" s="42">
        <f t="shared" si="5"/>
        <v>3.4999999999999987</v>
      </c>
      <c r="G54" s="8">
        <f t="shared" si="6"/>
        <v>1.2749999999999999</v>
      </c>
      <c r="H54" s="43">
        <f t="shared" si="7"/>
        <v>0.11415525114155251</v>
      </c>
      <c r="I54" s="43">
        <f t="shared" si="8"/>
        <v>2.5625000000000004</v>
      </c>
      <c r="J54" s="25">
        <f>IF(E54-G54-H54&gt;0,E54-G54-H54,0)</f>
        <v>3.0291447488584478</v>
      </c>
      <c r="K54" s="26">
        <f t="shared" si="4"/>
        <v>-9</v>
      </c>
      <c r="L54" s="22">
        <f t="shared" si="14"/>
        <v>4.3041447488584481</v>
      </c>
      <c r="M54" s="22">
        <f t="shared" si="10"/>
        <v>2.7816447488584473</v>
      </c>
      <c r="N54" s="22">
        <f t="shared" si="9"/>
        <v>2.8834629306766288</v>
      </c>
      <c r="O54" s="22">
        <f t="shared" si="9"/>
        <v>3.0870992943129933</v>
      </c>
      <c r="P54" s="22">
        <f t="shared" si="9"/>
        <v>3.2907356579493556</v>
      </c>
      <c r="Q54" s="22">
        <f t="shared" si="11"/>
        <v>1.1277947886344681</v>
      </c>
      <c r="R54" s="22"/>
      <c r="S54" s="24">
        <f t="shared" si="12"/>
        <v>2.2915664176006638</v>
      </c>
      <c r="AF54" s="18"/>
      <c r="AG54" s="18"/>
    </row>
    <row r="55" spans="1:35" x14ac:dyDescent="0.35">
      <c r="B55" s="6">
        <v>-8</v>
      </c>
      <c r="C55" s="42">
        <f t="shared" si="13"/>
        <v>2.8127999999999997</v>
      </c>
      <c r="D55" s="42">
        <f>$C$36*0.00035*($C$35-B55)</f>
        <v>1.47</v>
      </c>
      <c r="E55" s="8">
        <f>C55+D55</f>
        <v>4.2827999999999999</v>
      </c>
      <c r="F55" s="42">
        <f t="shared" si="5"/>
        <v>3.581395348837209</v>
      </c>
      <c r="G55" s="8">
        <f t="shared" si="6"/>
        <v>1.2865909090909091</v>
      </c>
      <c r="H55" s="43">
        <f t="shared" si="7"/>
        <v>0.11415525114155251</v>
      </c>
      <c r="I55" s="43">
        <f t="shared" si="8"/>
        <v>2.6031746031746037</v>
      </c>
      <c r="J55" s="25">
        <f>IF(E55-G55-H55&gt;0,E55-G55-H55,0)</f>
        <v>2.8820538397675382</v>
      </c>
      <c r="K55" s="26">
        <f t="shared" si="4"/>
        <v>-8</v>
      </c>
      <c r="L55" s="22">
        <f t="shared" si="14"/>
        <v>4.1686447488584477</v>
      </c>
      <c r="M55" s="22">
        <f t="shared" si="10"/>
        <v>2.6986447488584471</v>
      </c>
      <c r="N55" s="22">
        <f t="shared" si="9"/>
        <v>2.7829629306766286</v>
      </c>
      <c r="O55" s="22">
        <f t="shared" si="9"/>
        <v>2.9515992943129929</v>
      </c>
      <c r="P55" s="22">
        <f t="shared" si="9"/>
        <v>3.120235657949356</v>
      </c>
      <c r="Q55" s="22">
        <f t="shared" si="11"/>
        <v>1.0600170840257186</v>
      </c>
      <c r="R55" s="22"/>
      <c r="S55" s="24">
        <f t="shared" si="12"/>
        <v>2.1560664176006643</v>
      </c>
      <c r="AF55" s="18"/>
      <c r="AG55" s="18"/>
    </row>
    <row r="56" spans="1:35" x14ac:dyDescent="0.35">
      <c r="B56" s="6">
        <v>-7</v>
      </c>
      <c r="C56" s="42">
        <f t="shared" si="13"/>
        <v>2.7298</v>
      </c>
      <c r="D56" s="42">
        <f>$C$36*0.00035*($C$35-B56)</f>
        <v>1.4175</v>
      </c>
      <c r="E56" s="8">
        <f>C56+D56</f>
        <v>4.1472999999999995</v>
      </c>
      <c r="F56" s="42">
        <f t="shared" si="5"/>
        <v>3.666666666666667</v>
      </c>
      <c r="G56" s="8">
        <f t="shared" si="6"/>
        <v>1.2981818181818183</v>
      </c>
      <c r="H56" s="43">
        <f t="shared" si="7"/>
        <v>0.11415525114155251</v>
      </c>
      <c r="I56" s="43">
        <f t="shared" si="8"/>
        <v>2.6451612903225814</v>
      </c>
      <c r="J56" s="25">
        <f>IF(E56-G56-H56&gt;0,E56-G56-H56,0)</f>
        <v>2.7349629306766285</v>
      </c>
      <c r="K56" s="26">
        <f t="shared" si="4"/>
        <v>-7</v>
      </c>
      <c r="L56" s="22">
        <f t="shared" si="14"/>
        <v>4.0331447488584473</v>
      </c>
      <c r="M56" s="22">
        <f t="shared" si="10"/>
        <v>2.6156447488584473</v>
      </c>
      <c r="N56" s="22">
        <f t="shared" si="9"/>
        <v>2.6824629306766292</v>
      </c>
      <c r="O56" s="22">
        <f t="shared" si="9"/>
        <v>2.8160992943129926</v>
      </c>
      <c r="P56" s="22">
        <f t="shared" si="9"/>
        <v>2.9497356579493563</v>
      </c>
      <c r="Q56" s="22">
        <f t="shared" si="11"/>
        <v>0.99391739799282119</v>
      </c>
      <c r="R56" s="22"/>
      <c r="S56" s="24">
        <f t="shared" si="12"/>
        <v>2.0205664176006639</v>
      </c>
      <c r="AF56" s="18"/>
      <c r="AG56" s="18"/>
    </row>
    <row r="57" spans="1:35" x14ac:dyDescent="0.35">
      <c r="B57" s="6">
        <v>-6</v>
      </c>
      <c r="C57" s="42">
        <f t="shared" si="13"/>
        <v>2.6467999999999998</v>
      </c>
      <c r="D57" s="42">
        <f>$C$36*0.00035*($C$35-B57)</f>
        <v>1.365</v>
      </c>
      <c r="E57" s="8">
        <f>C57+D57</f>
        <v>4.0118</v>
      </c>
      <c r="F57" s="42">
        <f t="shared" si="5"/>
        <v>3.7560975609756109</v>
      </c>
      <c r="G57" s="8">
        <f t="shared" si="6"/>
        <v>1.3097727272727275</v>
      </c>
      <c r="H57" s="43">
        <f t="shared" si="7"/>
        <v>0.11415525114155251</v>
      </c>
      <c r="I57" s="43">
        <f t="shared" si="8"/>
        <v>2.6885245901639339</v>
      </c>
      <c r="J57" s="25">
        <f>IF(E57-G57-H57&gt;0,E57-G57-H57,0)</f>
        <v>2.5878720215857198</v>
      </c>
      <c r="K57" s="26">
        <f t="shared" si="4"/>
        <v>-6</v>
      </c>
      <c r="L57" s="22">
        <f t="shared" si="14"/>
        <v>3.8976447488584474</v>
      </c>
      <c r="M57" s="22">
        <f t="shared" si="10"/>
        <v>2.5326447488584471</v>
      </c>
      <c r="N57" s="22">
        <f t="shared" si="9"/>
        <v>2.581962930676629</v>
      </c>
      <c r="O57" s="22">
        <f t="shared" si="9"/>
        <v>2.680599294312993</v>
      </c>
      <c r="P57" s="22">
        <f t="shared" si="9"/>
        <v>2.7792356579493558</v>
      </c>
      <c r="Q57" s="22">
        <f t="shared" si="11"/>
        <v>0.92949573053577472</v>
      </c>
      <c r="R57" s="22"/>
      <c r="S57" s="24">
        <f t="shared" si="12"/>
        <v>1.8850664176006646</v>
      </c>
      <c r="AF57" s="18"/>
      <c r="AG57" s="18"/>
    </row>
    <row r="58" spans="1:35" x14ac:dyDescent="0.35">
      <c r="B58" s="6">
        <v>-5</v>
      </c>
      <c r="C58" s="42">
        <f t="shared" si="13"/>
        <v>2.5638000000000001</v>
      </c>
      <c r="D58" s="42">
        <f>$C$36*0.00035*($C$35-B58)</f>
        <v>1.3125</v>
      </c>
      <c r="E58" s="8">
        <f>C58+D58</f>
        <v>3.8763000000000001</v>
      </c>
      <c r="F58" s="42">
        <f t="shared" si="5"/>
        <v>3.8499999999999988</v>
      </c>
      <c r="G58" s="8">
        <f t="shared" si="6"/>
        <v>1.3213636363636361</v>
      </c>
      <c r="H58" s="43">
        <f t="shared" si="7"/>
        <v>0.11415525114155251</v>
      </c>
      <c r="I58" s="43">
        <f t="shared" si="8"/>
        <v>2.7333333333333325</v>
      </c>
      <c r="J58" s="25">
        <f>IF(E58-G58-H58&gt;0,E58-G58-H58,0)</f>
        <v>2.4407811124948116</v>
      </c>
      <c r="K58" s="26">
        <f t="shared" si="4"/>
        <v>-5</v>
      </c>
      <c r="L58" s="22">
        <f t="shared" si="14"/>
        <v>3.7621447488584474</v>
      </c>
      <c r="M58" s="22">
        <f t="shared" si="10"/>
        <v>2.4496447488584474</v>
      </c>
      <c r="N58" s="22">
        <f t="shared" si="9"/>
        <v>2.4814629306766292</v>
      </c>
      <c r="O58" s="22">
        <f t="shared" si="9"/>
        <v>2.5450992943129926</v>
      </c>
      <c r="P58" s="22">
        <f t="shared" si="9"/>
        <v>2.608735657949357</v>
      </c>
      <c r="Q58" s="22">
        <f t="shared" si="11"/>
        <v>0.8667520816545794</v>
      </c>
      <c r="R58" s="22"/>
      <c r="S58" s="24">
        <f t="shared" si="12"/>
        <v>1.7495664176006642</v>
      </c>
      <c r="AF58" s="18"/>
      <c r="AG58" s="18"/>
    </row>
    <row r="59" spans="1:35" x14ac:dyDescent="0.35">
      <c r="B59" s="6">
        <v>-4</v>
      </c>
      <c r="C59" s="42">
        <f t="shared" si="13"/>
        <v>2.4807999999999999</v>
      </c>
      <c r="D59" s="42">
        <f>$C$36*0.00035*($C$35-B59)</f>
        <v>1.26</v>
      </c>
      <c r="E59" s="8">
        <f>C59+D59</f>
        <v>3.7408000000000001</v>
      </c>
      <c r="F59" s="42">
        <f t="shared" si="5"/>
        <v>3.9487179487179485</v>
      </c>
      <c r="G59" s="8">
        <f t="shared" si="6"/>
        <v>1.3329545454545455</v>
      </c>
      <c r="H59" s="43">
        <f t="shared" si="7"/>
        <v>0.11415525114155251</v>
      </c>
      <c r="I59" s="43">
        <f t="shared" si="8"/>
        <v>2.7796610169491518</v>
      </c>
      <c r="J59" s="25">
        <f>IF(E59-G59-H59&gt;0,E59-G59-H59,0)</f>
        <v>2.293690203403902</v>
      </c>
      <c r="K59" s="26">
        <f t="shared" si="4"/>
        <v>-4</v>
      </c>
      <c r="L59" s="22">
        <f t="shared" si="14"/>
        <v>3.6266447488584475</v>
      </c>
      <c r="M59" s="22">
        <f t="shared" si="10"/>
        <v>2.3666447488584472</v>
      </c>
      <c r="N59" s="22">
        <f t="shared" si="9"/>
        <v>2.3809629306766289</v>
      </c>
      <c r="O59" s="22">
        <f t="shared" si="9"/>
        <v>2.4095992943129931</v>
      </c>
      <c r="P59" s="22">
        <f t="shared" si="9"/>
        <v>2.4382356579493565</v>
      </c>
      <c r="Q59" s="22">
        <f t="shared" si="11"/>
        <v>0.80568645134923633</v>
      </c>
      <c r="R59" s="22"/>
      <c r="S59" s="24">
        <f t="shared" si="12"/>
        <v>1.6140664176006645</v>
      </c>
      <c r="AF59" s="18"/>
      <c r="AG59" s="18"/>
    </row>
    <row r="60" spans="1:35" x14ac:dyDescent="0.35">
      <c r="B60" s="6">
        <v>-3</v>
      </c>
      <c r="C60" s="42">
        <f t="shared" si="13"/>
        <v>2.3978000000000002</v>
      </c>
      <c r="D60" s="42">
        <f>$C$36*0.00035*($C$35-B60)</f>
        <v>1.2075</v>
      </c>
      <c r="E60" s="8">
        <f>C60+D60</f>
        <v>3.6053000000000002</v>
      </c>
      <c r="F60" s="42">
        <f t="shared" si="5"/>
        <v>4.052631578947369</v>
      </c>
      <c r="G60" s="8">
        <f t="shared" si="6"/>
        <v>1.3445454545454545</v>
      </c>
      <c r="H60" s="43">
        <f t="shared" si="7"/>
        <v>0.11415525114155251</v>
      </c>
      <c r="I60" s="43">
        <f t="shared" si="8"/>
        <v>2.8275862068965512</v>
      </c>
      <c r="J60" s="25">
        <f>IF(E60-G60-H60&gt;0,E60-G60-H60,0)</f>
        <v>2.1465992943129932</v>
      </c>
      <c r="K60" s="26">
        <f t="shared" si="4"/>
        <v>-3</v>
      </c>
      <c r="L60" s="22">
        <f t="shared" si="14"/>
        <v>3.4911447488584475</v>
      </c>
      <c r="M60" s="22">
        <f t="shared" ref="M60:Q75" si="15">IF($C$33*$C$34*($C$35-$K60)/1000+$C$32*$C$34*($C$35-$C$41)/1000+M$39*0.00035*($C$35-$K60)-M$39*0.00035*((IF($C$38&gt;$K60,0,$C$35-$C$38)))*((1/(1-((273+$C$38)/(273+$C$37)))/2)-1)/(1/(1-((273+$C$38)/(273+$C$37)))/2)-($C$39/2-$C$40)/24/365&gt;0,$C$33*$C$34*($C$35-$K60)/1000+$C$32*$C$34*($C$35-$C$41)/1000+M$39*0.00035*($C$35-$K60)-M$39*0.00035*((IF($C$38&gt;$K60,0,$C$35-$C$38)))*((1/(1-((273+$C$38)/(273+$C$37)))/2)-1)/(1/(1-((273+$C$38)/(273+$C$37)))/2)-($C$39/2-$C$40)/24/365,0)</f>
        <v>2.2836447488584475</v>
      </c>
      <c r="N60" s="22">
        <f t="shared" si="9"/>
        <v>2.2804629306766291</v>
      </c>
      <c r="O60" s="22">
        <f t="shared" si="9"/>
        <v>2.2740992943129927</v>
      </c>
      <c r="P60" s="22">
        <f t="shared" si="9"/>
        <v>2.2677356579493559</v>
      </c>
      <c r="Q60" s="22">
        <f t="shared" si="11"/>
        <v>0.74629883961974386</v>
      </c>
      <c r="R60" s="22"/>
      <c r="S60" s="24">
        <f t="shared" si="12"/>
        <v>1.4785664176006641</v>
      </c>
    </row>
    <row r="61" spans="1:35" x14ac:dyDescent="0.35">
      <c r="B61" s="6">
        <v>-2</v>
      </c>
      <c r="C61" s="42">
        <f t="shared" si="13"/>
        <v>2.3148</v>
      </c>
      <c r="D61" s="42">
        <f>$C$36*0.00035*($C$35-B61)</f>
        <v>1.155</v>
      </c>
      <c r="E61" s="8">
        <f>C61+D61</f>
        <v>3.4698000000000002</v>
      </c>
      <c r="F61" s="42">
        <f t="shared" si="5"/>
        <v>4.1621621621621641</v>
      </c>
      <c r="G61" s="8">
        <f t="shared" si="6"/>
        <v>1.3561363636363639</v>
      </c>
      <c r="H61" s="43">
        <f t="shared" si="7"/>
        <v>0.11415525114155251</v>
      </c>
      <c r="I61" s="43">
        <f t="shared" si="8"/>
        <v>2.8771929824561395</v>
      </c>
      <c r="J61" s="25">
        <f>IF(E61-G61-H61&gt;0,E61-G61-H61,0)</f>
        <v>1.9995083852220839</v>
      </c>
      <c r="K61" s="26">
        <f t="shared" si="4"/>
        <v>-2</v>
      </c>
      <c r="L61" s="22">
        <f t="shared" si="14"/>
        <v>3.3556447488584475</v>
      </c>
      <c r="M61" s="22">
        <f t="shared" si="15"/>
        <v>2.2006447488584473</v>
      </c>
      <c r="N61" s="22">
        <f t="shared" si="9"/>
        <v>2.1799629306766288</v>
      </c>
      <c r="O61" s="22">
        <f t="shared" si="9"/>
        <v>2.1385992943129932</v>
      </c>
      <c r="P61" s="22">
        <f t="shared" si="9"/>
        <v>2.0972356579493563</v>
      </c>
      <c r="Q61" s="22">
        <f t="shared" si="11"/>
        <v>0.68858924646610298</v>
      </c>
      <c r="R61" s="22"/>
      <c r="S61" s="24">
        <f t="shared" si="12"/>
        <v>1.3430664176006646</v>
      </c>
    </row>
    <row r="62" spans="1:35" x14ac:dyDescent="0.35">
      <c r="B62" s="6">
        <v>-1</v>
      </c>
      <c r="C62" s="42">
        <f t="shared" si="13"/>
        <v>2.2318000000000002</v>
      </c>
      <c r="D62" s="42">
        <f>$C$36*0.00035*($C$35-B62)</f>
        <v>1.1025</v>
      </c>
      <c r="E62" s="8">
        <f>C62+D62</f>
        <v>3.3343000000000003</v>
      </c>
      <c r="F62" s="42">
        <f t="shared" si="5"/>
        <v>4.2777777777777768</v>
      </c>
      <c r="G62" s="8">
        <f t="shared" si="6"/>
        <v>1.3677272727272727</v>
      </c>
      <c r="H62" s="43">
        <f t="shared" si="7"/>
        <v>0.11415525114155251</v>
      </c>
      <c r="I62" s="43">
        <f t="shared" si="8"/>
        <v>2.9285714285714279</v>
      </c>
      <c r="J62" s="25">
        <f>IF(E62-G62-H62&gt;0,E62-G62-H62,0)</f>
        <v>1.8524174761311751</v>
      </c>
      <c r="K62" s="26">
        <f t="shared" si="4"/>
        <v>-1</v>
      </c>
      <c r="L62" s="22">
        <f t="shared" si="14"/>
        <v>3.2201447488584476</v>
      </c>
      <c r="M62" s="22">
        <f t="shared" si="15"/>
        <v>2.1176447488584476</v>
      </c>
      <c r="N62" s="22">
        <f t="shared" si="9"/>
        <v>2.0794629306766295</v>
      </c>
      <c r="O62" s="22">
        <f t="shared" si="9"/>
        <v>2.0030992943129928</v>
      </c>
      <c r="P62" s="22">
        <f t="shared" si="9"/>
        <v>1.9267356579493569</v>
      </c>
      <c r="Q62" s="22">
        <f t="shared" si="11"/>
        <v>0.63255767188831369</v>
      </c>
      <c r="R62" s="22"/>
      <c r="S62" s="24">
        <f t="shared" si="12"/>
        <v>1.2075664176006642</v>
      </c>
    </row>
    <row r="63" spans="1:35" x14ac:dyDescent="0.35">
      <c r="B63" s="6">
        <v>0</v>
      </c>
      <c r="C63" s="42">
        <f t="shared" si="13"/>
        <v>2.1488</v>
      </c>
      <c r="D63" s="42">
        <f>$C$36*0.00035*($C$35-B63)</f>
        <v>1.05</v>
      </c>
      <c r="E63" s="8">
        <f>C63+D63</f>
        <v>3.1988000000000003</v>
      </c>
      <c r="F63" s="42">
        <f t="shared" si="5"/>
        <v>4.3999999999999995</v>
      </c>
      <c r="G63" s="8">
        <f t="shared" si="6"/>
        <v>1.3793181818181817</v>
      </c>
      <c r="H63" s="43">
        <f t="shared" si="7"/>
        <v>0.11415525114155251</v>
      </c>
      <c r="I63" s="43">
        <f t="shared" si="8"/>
        <v>2.981818181818181</v>
      </c>
      <c r="J63" s="25">
        <f>IF(E63-G63-H63&gt;0,E63-G63-H63,0)</f>
        <v>1.7053265670402662</v>
      </c>
      <c r="K63" s="26">
        <f t="shared" si="4"/>
        <v>0</v>
      </c>
      <c r="L63" s="22">
        <f t="shared" si="14"/>
        <v>3.0846447488584476</v>
      </c>
      <c r="M63" s="22">
        <f t="shared" si="15"/>
        <v>2.0346447488584474</v>
      </c>
      <c r="N63" s="22">
        <f t="shared" si="15"/>
        <v>1.9789629306766294</v>
      </c>
      <c r="O63" s="22">
        <f t="shared" si="15"/>
        <v>1.8675992943129933</v>
      </c>
      <c r="P63" s="22">
        <f t="shared" si="15"/>
        <v>1.7562356579493568</v>
      </c>
      <c r="Q63" s="22">
        <f t="shared" si="11"/>
        <v>0.57820411588637566</v>
      </c>
      <c r="R63" s="22"/>
    </row>
    <row r="64" spans="1:35" x14ac:dyDescent="0.35">
      <c r="B64" s="6">
        <v>1</v>
      </c>
      <c r="C64" s="42">
        <f t="shared" si="13"/>
        <v>2.0657999999999999</v>
      </c>
      <c r="D64" s="42">
        <f>$C$36*0.00035*($C$35-B64)</f>
        <v>0.99749999999999994</v>
      </c>
      <c r="E64" s="8">
        <f>C64+D64</f>
        <v>3.0632999999999999</v>
      </c>
      <c r="F64" s="42">
        <f t="shared" si="5"/>
        <v>4.5294117647058831</v>
      </c>
      <c r="G64" s="8">
        <f t="shared" si="6"/>
        <v>1.3909090909090909</v>
      </c>
      <c r="H64" s="43">
        <f t="shared" si="7"/>
        <v>0.11415525114155251</v>
      </c>
      <c r="I64" s="43">
        <f t="shared" si="8"/>
        <v>3.0370370370370363</v>
      </c>
      <c r="J64" s="25">
        <f>IF(E64-G64-H64&gt;0,E64-G64-H64,0)</f>
        <v>1.5582356579493566</v>
      </c>
      <c r="K64" s="26">
        <f t="shared" si="4"/>
        <v>1</v>
      </c>
      <c r="L64" s="22">
        <f t="shared" si="14"/>
        <v>2.9491447488584472</v>
      </c>
      <c r="M64" s="22">
        <f t="shared" si="15"/>
        <v>1.9516447488584474</v>
      </c>
      <c r="N64" s="22">
        <f t="shared" si="15"/>
        <v>1.8784629306766292</v>
      </c>
      <c r="O64" s="22">
        <f t="shared" si="15"/>
        <v>1.7320992943129929</v>
      </c>
      <c r="P64" s="22">
        <f t="shared" si="15"/>
        <v>1.5857356579493567</v>
      </c>
      <c r="Q64" s="22">
        <f t="shared" si="11"/>
        <v>0.52552857846028878</v>
      </c>
      <c r="R64" s="22"/>
    </row>
    <row r="65" spans="2:18" x14ac:dyDescent="0.35">
      <c r="B65" s="6">
        <v>2</v>
      </c>
      <c r="C65" s="42">
        <f t="shared" si="13"/>
        <v>1.9828000000000001</v>
      </c>
      <c r="D65" s="42">
        <f>$C$36*0.00035*($C$35-B65)</f>
        <v>0.94499999999999995</v>
      </c>
      <c r="E65" s="8">
        <f>C65+D65</f>
        <v>2.9278</v>
      </c>
      <c r="F65" s="42">
        <f t="shared" si="5"/>
        <v>4.6666666666666687</v>
      </c>
      <c r="G65" s="8">
        <f t="shared" si="6"/>
        <v>1.4025000000000001</v>
      </c>
      <c r="H65" s="43">
        <f t="shared" si="7"/>
        <v>0.11415525114155251</v>
      </c>
      <c r="I65" s="43">
        <f t="shared" si="8"/>
        <v>3.0943396226415087</v>
      </c>
      <c r="J65" s="25">
        <f>IF(E65-G65-H65&gt;0,E65-G65-H65,0)</f>
        <v>1.4111447488584474</v>
      </c>
      <c r="K65" s="26">
        <f t="shared" si="4"/>
        <v>2</v>
      </c>
      <c r="L65" s="22">
        <f t="shared" si="14"/>
        <v>2.8136447488584473</v>
      </c>
      <c r="M65" s="22">
        <f t="shared" si="15"/>
        <v>1.8686447488584477</v>
      </c>
      <c r="N65" s="22">
        <f t="shared" si="15"/>
        <v>1.7779629306766294</v>
      </c>
      <c r="O65" s="22">
        <f t="shared" si="15"/>
        <v>1.596599294312993</v>
      </c>
      <c r="P65" s="22">
        <f t="shared" si="15"/>
        <v>1.415235657949357</v>
      </c>
      <c r="Q65" s="22">
        <f t="shared" si="11"/>
        <v>0.47453105961005382</v>
      </c>
      <c r="R65" s="22"/>
    </row>
    <row r="66" spans="2:18" x14ac:dyDescent="0.35">
      <c r="B66" s="6">
        <v>3</v>
      </c>
      <c r="C66" s="42">
        <f t="shared" si="13"/>
        <v>1.8997999999999999</v>
      </c>
      <c r="D66" s="42">
        <f>$C$36*0.00035*($C$35-B66)</f>
        <v>0.89249999999999996</v>
      </c>
      <c r="E66" s="8">
        <f>C66+D66</f>
        <v>2.7923</v>
      </c>
      <c r="F66" s="42">
        <f t="shared" si="5"/>
        <v>4.8124999999999982</v>
      </c>
      <c r="G66" s="8">
        <f t="shared" si="6"/>
        <v>1.4140909090909088</v>
      </c>
      <c r="H66" s="43">
        <f t="shared" si="7"/>
        <v>0.11415525114155251</v>
      </c>
      <c r="I66" s="43">
        <f t="shared" si="8"/>
        <v>3.1538461538461533</v>
      </c>
      <c r="J66" s="25">
        <f>IF(E66-G66-H66&gt;0,E66-G66-H66,0)</f>
        <v>1.2640538397675387</v>
      </c>
      <c r="K66" s="26">
        <f t="shared" si="4"/>
        <v>3</v>
      </c>
      <c r="L66" s="22">
        <f t="shared" si="14"/>
        <v>2.6781447488584473</v>
      </c>
      <c r="M66" s="22">
        <f t="shared" si="15"/>
        <v>1.7856447488584475</v>
      </c>
      <c r="N66" s="22">
        <f t="shared" si="15"/>
        <v>1.6774629306766291</v>
      </c>
      <c r="O66" s="22">
        <f t="shared" si="15"/>
        <v>1.461099294312993</v>
      </c>
      <c r="P66" s="22">
        <f t="shared" si="15"/>
        <v>1.2447356579493565</v>
      </c>
      <c r="Q66" s="22">
        <f t="shared" si="11"/>
        <v>0.42521155933566984</v>
      </c>
      <c r="R66" s="22"/>
    </row>
    <row r="67" spans="2:18" x14ac:dyDescent="0.35">
      <c r="B67" s="6">
        <v>4</v>
      </c>
      <c r="C67" s="42">
        <f t="shared" si="13"/>
        <v>1.8168000000000002</v>
      </c>
      <c r="D67" s="42">
        <f>$C$36*0.00035*($C$35-B67)</f>
        <v>0.84</v>
      </c>
      <c r="E67" s="8">
        <f>C67+D67</f>
        <v>2.6568000000000001</v>
      </c>
      <c r="F67" s="42">
        <f t="shared" si="5"/>
        <v>4.967741935483871</v>
      </c>
      <c r="G67" s="8">
        <f t="shared" si="6"/>
        <v>1.4256818181818181</v>
      </c>
      <c r="H67" s="43">
        <f t="shared" si="7"/>
        <v>0.11415525114155251</v>
      </c>
      <c r="I67" s="43">
        <f t="shared" si="8"/>
        <v>3.2156862745098032</v>
      </c>
      <c r="J67" s="25">
        <f>IF(E67-G67-H67&gt;0,E67-G67-H67,0)</f>
        <v>1.1169629306766296</v>
      </c>
      <c r="K67" s="26">
        <f t="shared" si="4"/>
        <v>4</v>
      </c>
      <c r="L67" s="22">
        <f t="shared" si="14"/>
        <v>2.5426447488584474</v>
      </c>
      <c r="M67" s="22">
        <f t="shared" si="15"/>
        <v>1.7026447488584477</v>
      </c>
      <c r="N67" s="22">
        <f t="shared" si="15"/>
        <v>1.5769629306766293</v>
      </c>
      <c r="O67" s="22">
        <f t="shared" si="15"/>
        <v>1.3255992943129931</v>
      </c>
      <c r="P67" s="22">
        <f t="shared" si="15"/>
        <v>1.0742356579493568</v>
      </c>
      <c r="Q67" s="22">
        <f t="shared" si="11"/>
        <v>0.37757007763713729</v>
      </c>
      <c r="R67" s="22"/>
    </row>
    <row r="68" spans="2:18" x14ac:dyDescent="0.35">
      <c r="B68" s="6">
        <v>5</v>
      </c>
      <c r="C68" s="42">
        <f t="shared" si="13"/>
        <v>1.7338</v>
      </c>
      <c r="D68" s="42">
        <f>$C$36*0.00035*($C$35-B68)</f>
        <v>0.78749999999999998</v>
      </c>
      <c r="E68" s="8">
        <f>C68+D68</f>
        <v>2.5213000000000001</v>
      </c>
      <c r="F68" s="42">
        <f t="shared" si="5"/>
        <v>5.1333333333333346</v>
      </c>
      <c r="G68" s="8">
        <f t="shared" si="6"/>
        <v>1.4372727272727273</v>
      </c>
      <c r="H68" s="43">
        <f t="shared" si="7"/>
        <v>0.11415525114155251</v>
      </c>
      <c r="I68" s="43">
        <f t="shared" si="8"/>
        <v>3.2799999999999994</v>
      </c>
      <c r="J68" s="25">
        <f>IF(E68-G68-H68&gt;0,E68-G68-H68,0)</f>
        <v>0.96987202158572039</v>
      </c>
      <c r="K68" s="26">
        <f t="shared" si="4"/>
        <v>5</v>
      </c>
      <c r="L68" s="22">
        <f t="shared" si="14"/>
        <v>2.4071447488584474</v>
      </c>
      <c r="M68" s="22">
        <f t="shared" si="15"/>
        <v>1.6196447488584476</v>
      </c>
      <c r="N68" s="22">
        <f t="shared" si="15"/>
        <v>1.4764629306766293</v>
      </c>
      <c r="O68" s="22">
        <f t="shared" si="15"/>
        <v>1.1900992943129931</v>
      </c>
      <c r="P68" s="22">
        <f t="shared" si="15"/>
        <v>0.90373565794935673</v>
      </c>
      <c r="Q68" s="22">
        <f t="shared" si="11"/>
        <v>0.33160661451445639</v>
      </c>
      <c r="R68" s="22"/>
    </row>
    <row r="69" spans="2:18" x14ac:dyDescent="0.35">
      <c r="B69" s="6">
        <v>6</v>
      </c>
      <c r="C69" s="42">
        <f t="shared" si="13"/>
        <v>1.6507999999999998</v>
      </c>
      <c r="D69" s="42">
        <f>$C$36*0.00035*($C$35-B69)</f>
        <v>0.73499999999999999</v>
      </c>
      <c r="E69" s="8">
        <f>C69+D69</f>
        <v>2.3857999999999997</v>
      </c>
      <c r="F69" s="42">
        <f t="shared" si="5"/>
        <v>5.31034482758621</v>
      </c>
      <c r="G69" s="8">
        <f t="shared" si="6"/>
        <v>1.4488636363636365</v>
      </c>
      <c r="H69" s="43">
        <f t="shared" si="7"/>
        <v>0.11415525114155251</v>
      </c>
      <c r="I69" s="43">
        <f t="shared" si="8"/>
        <v>3.3469387755102038</v>
      </c>
      <c r="J69" s="25">
        <f>IF(E69-G69-H69&gt;0,E69-G69-H69,0)</f>
        <v>0.82278111249481078</v>
      </c>
      <c r="K69" s="26">
        <f t="shared" si="4"/>
        <v>6</v>
      </c>
      <c r="L69" s="22">
        <f t="shared" si="14"/>
        <v>2.271644748858447</v>
      </c>
      <c r="M69" s="22">
        <f t="shared" si="15"/>
        <v>1.5366447488584474</v>
      </c>
      <c r="N69" s="22">
        <f t="shared" si="15"/>
        <v>1.375962930676629</v>
      </c>
      <c r="O69" s="22">
        <f t="shared" si="15"/>
        <v>1.0545992943129927</v>
      </c>
      <c r="P69" s="22">
        <f t="shared" si="15"/>
        <v>0.73323565794935663</v>
      </c>
      <c r="Q69" s="22">
        <f t="shared" si="11"/>
        <v>0.28732116996762652</v>
      </c>
      <c r="R69" s="22"/>
    </row>
    <row r="70" spans="2:18" x14ac:dyDescent="0.35">
      <c r="B70" s="6">
        <v>7</v>
      </c>
      <c r="C70" s="42">
        <f t="shared" si="13"/>
        <v>1.5678000000000001</v>
      </c>
      <c r="D70" s="42">
        <f>$C$36*0.00035*($C$35-B70)</f>
        <v>0.6825</v>
      </c>
      <c r="E70" s="8">
        <f>C70+D70</f>
        <v>2.2503000000000002</v>
      </c>
      <c r="F70" s="42">
        <f t="shared" si="5"/>
        <v>5.4999999999999982</v>
      </c>
      <c r="G70" s="8">
        <f t="shared" si="6"/>
        <v>1.4604545454545454</v>
      </c>
      <c r="H70" s="43">
        <f t="shared" si="7"/>
        <v>0.11415525114155251</v>
      </c>
      <c r="I70" s="43">
        <f t="shared" si="8"/>
        <v>3.4166666666666661</v>
      </c>
      <c r="J70" s="25">
        <f>IF(E70-G70-H70&gt;0,E70-G70-H70,0)</f>
        <v>0.67569020340390229</v>
      </c>
      <c r="K70" s="26">
        <f t="shared" si="4"/>
        <v>7</v>
      </c>
      <c r="L70" s="22">
        <f t="shared" si="14"/>
        <v>2.1361447488584475</v>
      </c>
      <c r="M70" s="22">
        <f t="shared" si="15"/>
        <v>1.4536447488584476</v>
      </c>
      <c r="N70" s="22">
        <f t="shared" si="15"/>
        <v>1.2754629306766294</v>
      </c>
      <c r="O70" s="22">
        <f t="shared" si="15"/>
        <v>0.9190992943129932</v>
      </c>
      <c r="P70" s="22">
        <f t="shared" si="15"/>
        <v>0.56273565794935698</v>
      </c>
      <c r="Q70" s="22">
        <f t="shared" si="11"/>
        <v>0.2447137439966483</v>
      </c>
      <c r="R70" s="22"/>
    </row>
    <row r="71" spans="2:18" x14ac:dyDescent="0.35">
      <c r="B71" s="6">
        <v>8</v>
      </c>
      <c r="C71" s="42">
        <f t="shared" si="13"/>
        <v>1.4847999999999999</v>
      </c>
      <c r="D71" s="42">
        <f>$C$36*0.00035*($C$35-B71)</f>
        <v>0.63</v>
      </c>
      <c r="E71" s="8">
        <f>C71+D71</f>
        <v>2.1147999999999998</v>
      </c>
      <c r="F71" s="42">
        <f t="shared" si="5"/>
        <v>5.7037037037037033</v>
      </c>
      <c r="G71" s="8">
        <f t="shared" si="6"/>
        <v>1.4720454545454547</v>
      </c>
      <c r="H71" s="43">
        <f t="shared" si="7"/>
        <v>0.11415525114155251</v>
      </c>
      <c r="I71" s="43">
        <f t="shared" si="8"/>
        <v>3.4893617021276593</v>
      </c>
      <c r="J71" s="25">
        <f>IF(E71-G71-H71&gt;0,E71-G71-H71,0)</f>
        <v>0.52859929431299268</v>
      </c>
      <c r="K71" s="26">
        <f t="shared" si="4"/>
        <v>8</v>
      </c>
      <c r="L71" s="22">
        <f t="shared" si="14"/>
        <v>2.0006447488584471</v>
      </c>
      <c r="M71" s="22">
        <f t="shared" si="15"/>
        <v>1.3706447488584474</v>
      </c>
      <c r="N71" s="22">
        <f t="shared" si="15"/>
        <v>1.1749629306766292</v>
      </c>
      <c r="O71" s="22">
        <f t="shared" si="15"/>
        <v>0.7835992943129928</v>
      </c>
      <c r="P71" s="22">
        <f t="shared" si="15"/>
        <v>0.39223565794935639</v>
      </c>
      <c r="Q71" s="22">
        <f t="shared" si="11"/>
        <v>0.20378433660152126</v>
      </c>
      <c r="R71" s="22"/>
    </row>
    <row r="72" spans="2:18" x14ac:dyDescent="0.35">
      <c r="B72" s="6">
        <v>9</v>
      </c>
      <c r="C72" s="42">
        <f t="shared" si="13"/>
        <v>1.4018000000000002</v>
      </c>
      <c r="D72" s="42">
        <f>$C$36*0.00035*($C$35-B72)</f>
        <v>0.57750000000000001</v>
      </c>
      <c r="E72" s="8">
        <f>C72+D72</f>
        <v>1.9793000000000003</v>
      </c>
      <c r="F72" s="42">
        <f t="shared" si="5"/>
        <v>5.9230769230769251</v>
      </c>
      <c r="G72" s="8">
        <f t="shared" si="6"/>
        <v>1.4836363636363636</v>
      </c>
      <c r="H72" s="43">
        <f t="shared" si="7"/>
        <v>0.11415525114155251</v>
      </c>
      <c r="I72" s="43">
        <f t="shared" si="8"/>
        <v>3.5652173913043477</v>
      </c>
      <c r="J72" s="25">
        <f>IF(E72-G72-H72&gt;0,E72-G72-H72,0)</f>
        <v>0.38150838522208413</v>
      </c>
      <c r="K72" s="26">
        <f t="shared" si="4"/>
        <v>9</v>
      </c>
      <c r="L72" s="22">
        <f t="shared" si="14"/>
        <v>1.8651447488584478</v>
      </c>
      <c r="M72" s="22">
        <f t="shared" si="15"/>
        <v>1.2876447488584477</v>
      </c>
      <c r="N72" s="22">
        <f t="shared" si="15"/>
        <v>1.0744629306766293</v>
      </c>
      <c r="O72" s="22">
        <f t="shared" si="15"/>
        <v>0.64809929431299329</v>
      </c>
      <c r="P72" s="22">
        <f t="shared" si="15"/>
        <v>0.22173565794935673</v>
      </c>
      <c r="Q72" s="22">
        <f t="shared" si="11"/>
        <v>0.164532947782246</v>
      </c>
      <c r="R72" s="22"/>
    </row>
    <row r="73" spans="2:18" x14ac:dyDescent="0.35">
      <c r="B73" s="6">
        <v>10</v>
      </c>
      <c r="C73" s="42">
        <f t="shared" si="13"/>
        <v>1.3188</v>
      </c>
      <c r="D73" s="42">
        <f>$C$36*0.00035*($C$35-B73)</f>
        <v>0.52500000000000002</v>
      </c>
      <c r="E73" s="8">
        <f>C73+D73</f>
        <v>1.8437999999999999</v>
      </c>
      <c r="F73" s="42">
        <f t="shared" si="5"/>
        <v>6.1599999999999957</v>
      </c>
      <c r="G73" s="8">
        <f t="shared" si="6"/>
        <v>1.4952272727272726</v>
      </c>
      <c r="H73" s="43">
        <f t="shared" si="7"/>
        <v>0.11415525114155251</v>
      </c>
      <c r="I73" s="43">
        <f t="shared" si="8"/>
        <v>3.6444444444444444</v>
      </c>
      <c r="J73" s="25">
        <f>IF(E73-G73-H73&gt;0,E73-G73-H73,0)</f>
        <v>0.23441747613117475</v>
      </c>
      <c r="K73" s="26">
        <f t="shared" si="4"/>
        <v>10</v>
      </c>
      <c r="L73" s="22">
        <f t="shared" si="14"/>
        <v>1.7296447488584474</v>
      </c>
      <c r="M73" s="22">
        <f t="shared" si="15"/>
        <v>1.2046447488584475</v>
      </c>
      <c r="N73" s="22">
        <f t="shared" si="15"/>
        <v>0.97396293067662931</v>
      </c>
      <c r="O73" s="22">
        <f t="shared" si="15"/>
        <v>0.51259929431299289</v>
      </c>
      <c r="P73" s="22">
        <f t="shared" si="15"/>
        <v>5.1235657949356639E-2</v>
      </c>
      <c r="Q73" s="22">
        <f t="shared" si="11"/>
        <v>0.12695957753882176</v>
      </c>
      <c r="R73" s="22"/>
    </row>
    <row r="74" spans="2:18" x14ac:dyDescent="0.35">
      <c r="B74" s="6">
        <v>11</v>
      </c>
      <c r="C74" s="42">
        <f t="shared" si="13"/>
        <v>1.2358</v>
      </c>
      <c r="D74" s="42">
        <f>$C$36*0.00035*($C$35-B74)</f>
        <v>0.47249999999999998</v>
      </c>
      <c r="E74" s="8">
        <f>C74+D74</f>
        <v>1.7082999999999999</v>
      </c>
      <c r="F74" s="42">
        <f t="shared" si="5"/>
        <v>6.4166666666666643</v>
      </c>
      <c r="G74" s="8">
        <f t="shared" si="6"/>
        <v>1.5068181818181816</v>
      </c>
      <c r="H74" s="43">
        <f t="shared" si="7"/>
        <v>0.11415525114155251</v>
      </c>
      <c r="I74" s="43">
        <f t="shared" si="8"/>
        <v>3.7272727272727271</v>
      </c>
      <c r="J74" s="25">
        <f>IF(E74-G74-H74&gt;0,E74-G74-H74,0)</f>
        <v>8.7326567040265812E-2</v>
      </c>
      <c r="K74" s="26">
        <f t="shared" si="4"/>
        <v>11</v>
      </c>
      <c r="L74" s="22">
        <f t="shared" si="14"/>
        <v>1.5941447488584475</v>
      </c>
      <c r="M74" s="22">
        <f t="shared" si="15"/>
        <v>1.1216447488584476</v>
      </c>
      <c r="N74" s="22">
        <f t="shared" si="15"/>
        <v>0.87346293067662928</v>
      </c>
      <c r="O74" s="22">
        <f t="shared" si="15"/>
        <v>0.37709929431299288</v>
      </c>
      <c r="P74" s="22">
        <f t="shared" si="15"/>
        <v>0</v>
      </c>
      <c r="Q74" s="22">
        <f t="shared" si="11"/>
        <v>9.106422587124903E-2</v>
      </c>
      <c r="R74" s="22"/>
    </row>
    <row r="75" spans="2:18" x14ac:dyDescent="0.35">
      <c r="B75" s="6">
        <v>12</v>
      </c>
      <c r="C75" s="42">
        <f t="shared" si="13"/>
        <v>1.1528</v>
      </c>
      <c r="D75" s="42">
        <f>$C$36*0.00035*($C$35-B75)</f>
        <v>0.42</v>
      </c>
      <c r="E75" s="8">
        <f>C75+D75</f>
        <v>1.5728</v>
      </c>
      <c r="F75" s="42">
        <f t="shared" si="5"/>
        <v>6.6956521739130439</v>
      </c>
      <c r="G75" s="8">
        <f t="shared" si="6"/>
        <v>1.5184090909090908</v>
      </c>
      <c r="H75" s="43">
        <f t="shared" si="7"/>
        <v>0.11415525114155251</v>
      </c>
      <c r="I75" s="43">
        <f t="shared" si="8"/>
        <v>3.8139534883720927</v>
      </c>
      <c r="J75" s="25">
        <f>IF(E75-G75-H75&gt;0,E75-G75-H75,0)</f>
        <v>0</v>
      </c>
      <c r="K75" s="26">
        <f t="shared" si="4"/>
        <v>12</v>
      </c>
      <c r="L75" s="22">
        <f t="shared" si="14"/>
        <v>1.4586447488584475</v>
      </c>
      <c r="M75" s="22">
        <f t="shared" si="15"/>
        <v>1.0386447488584476</v>
      </c>
      <c r="N75" s="22">
        <f t="shared" si="15"/>
        <v>0.77296293067662925</v>
      </c>
      <c r="O75" s="22">
        <f t="shared" si="15"/>
        <v>0.24159929431299293</v>
      </c>
      <c r="P75" s="22">
        <f t="shared" si="15"/>
        <v>0</v>
      </c>
      <c r="Q75" s="22">
        <f t="shared" si="11"/>
        <v>5.6846892779527758E-2</v>
      </c>
      <c r="R75" s="22"/>
    </row>
    <row r="76" spans="2:18" x14ac:dyDescent="0.35">
      <c r="B76" s="6">
        <v>13</v>
      </c>
      <c r="C76" s="42">
        <f t="shared" si="13"/>
        <v>1.0697999999999999</v>
      </c>
      <c r="D76" s="42">
        <f>$C$36*0.00035*($C$35-B76)</f>
        <v>0.36749999999999999</v>
      </c>
      <c r="E76" s="8">
        <f>C76+D76</f>
        <v>1.4372999999999998</v>
      </c>
      <c r="F76" s="42">
        <f t="shared" si="5"/>
        <v>7.0000000000000036</v>
      </c>
      <c r="G76" s="8">
        <f t="shared" si="6"/>
        <v>1.53</v>
      </c>
      <c r="H76" s="43">
        <f t="shared" si="7"/>
        <v>0.11415525114155251</v>
      </c>
      <c r="I76" s="43">
        <f t="shared" si="8"/>
        <v>3.9047619047619047</v>
      </c>
      <c r="J76" s="25">
        <f>IF(E76-G76-H76&gt;0,E76-G76-H76,0)</f>
        <v>0</v>
      </c>
      <c r="K76" s="26">
        <f t="shared" si="4"/>
        <v>13</v>
      </c>
      <c r="L76" s="22">
        <f t="shared" si="14"/>
        <v>1.3231447488584474</v>
      </c>
      <c r="M76" s="22">
        <f t="shared" ref="M76:Q83" si="16">IF($C$33*$C$34*($C$35-$K76)/1000+$C$32*$C$34*($C$35-$C$41)/1000+M$39*0.00035*($C$35-$K76)-M$39*0.00035*((IF($C$38&gt;$K76,0,$C$35-$C$38)))*((1/(1-((273+$C$38)/(273+$C$37)))/2)-1)/(1/(1-((273+$C$38)/(273+$C$37)))/2)-($C$39/2-$C$40)/24/365&gt;0,$C$33*$C$34*($C$35-$K76)/1000+$C$32*$C$34*($C$35-$C$41)/1000+M$39*0.00035*($C$35-$K76)-M$39*0.00035*((IF($C$38&gt;$K76,0,$C$35-$C$38)))*((1/(1-((273+$C$38)/(273+$C$37)))/2)-1)/(1/(1-((273+$C$38)/(273+$C$37)))/2)-($C$39/2-$C$40)/24/365,0)</f>
        <v>0.95564474885844741</v>
      </c>
      <c r="N76" s="22">
        <f t="shared" si="16"/>
        <v>0.67246293067662921</v>
      </c>
      <c r="O76" s="22">
        <f t="shared" si="16"/>
        <v>0.10609929431299275</v>
      </c>
      <c r="P76" s="22">
        <f t="shared" si="16"/>
        <v>0</v>
      </c>
      <c r="Q76" s="22">
        <f t="shared" si="11"/>
        <v>2.4307578263657783E-2</v>
      </c>
      <c r="R76" s="22"/>
    </row>
    <row r="77" spans="2:18" x14ac:dyDescent="0.35">
      <c r="B77" s="6">
        <v>14</v>
      </c>
      <c r="C77" s="42">
        <f t="shared" si="13"/>
        <v>0.98680000000000001</v>
      </c>
      <c r="D77" s="42">
        <f>$C$36*0.00035*($C$35-B77)</f>
        <v>0.315</v>
      </c>
      <c r="E77" s="8">
        <f>C77+D77</f>
        <v>1.3018000000000001</v>
      </c>
      <c r="F77" s="42">
        <f t="shared" si="5"/>
        <v>7.3333333333333277</v>
      </c>
      <c r="G77" s="8">
        <f t="shared" si="6"/>
        <v>1.5415909090909088</v>
      </c>
      <c r="H77" s="43">
        <f t="shared" si="7"/>
        <v>0.11415525114155251</v>
      </c>
      <c r="I77" s="43">
        <f t="shared" si="8"/>
        <v>4</v>
      </c>
      <c r="J77" s="25">
        <f>IF(E77-G77-H77&gt;0,E77-G77-H77,0)</f>
        <v>0</v>
      </c>
      <c r="K77" s="26">
        <f t="shared" si="4"/>
        <v>14</v>
      </c>
      <c r="L77" s="22">
        <f t="shared" si="14"/>
        <v>1.1876447488584476</v>
      </c>
      <c r="M77" s="22">
        <f t="shared" si="16"/>
        <v>0.87264474885844745</v>
      </c>
      <c r="N77" s="22">
        <f t="shared" si="16"/>
        <v>0.5719629306766294</v>
      </c>
      <c r="O77" s="22">
        <f t="shared" si="16"/>
        <v>0</v>
      </c>
      <c r="P77" s="22">
        <f t="shared" si="16"/>
        <v>0</v>
      </c>
      <c r="Q77" s="22">
        <f t="shared" si="11"/>
        <v>0</v>
      </c>
      <c r="R77" s="22"/>
    </row>
    <row r="78" spans="2:18" x14ac:dyDescent="0.35">
      <c r="B78" s="6">
        <v>15</v>
      </c>
      <c r="C78" s="42">
        <f t="shared" si="13"/>
        <v>0.90379999999999994</v>
      </c>
      <c r="D78" s="42">
        <f>$C$36*0.00035*($C$35-B78)</f>
        <v>0.26250000000000001</v>
      </c>
      <c r="E78" s="8">
        <f>C78+D78</f>
        <v>1.1662999999999999</v>
      </c>
      <c r="F78" s="42">
        <f t="shared" si="5"/>
        <v>7.6999999999999975</v>
      </c>
      <c r="G78" s="8">
        <f t="shared" si="6"/>
        <v>1.553181818181818</v>
      </c>
      <c r="H78" s="43">
        <f t="shared" si="7"/>
        <v>0.11415525114155251</v>
      </c>
      <c r="I78" s="43">
        <f t="shared" si="8"/>
        <v>4.1000000000000005</v>
      </c>
      <c r="J78" s="25">
        <f>IF(E78-G78-H78&gt;0,E78-G78-H78,0)</f>
        <v>0</v>
      </c>
      <c r="K78" s="26">
        <f t="shared" si="4"/>
        <v>15</v>
      </c>
      <c r="L78" s="22">
        <f t="shared" si="14"/>
        <v>1.0521447488584474</v>
      </c>
      <c r="M78" s="22">
        <f t="shared" si="16"/>
        <v>0.78964474885844749</v>
      </c>
      <c r="N78" s="22">
        <f t="shared" si="16"/>
        <v>0.47146293067662931</v>
      </c>
      <c r="O78" s="22">
        <f t="shared" si="16"/>
        <v>0</v>
      </c>
      <c r="P78" s="22">
        <f t="shared" si="16"/>
        <v>0</v>
      </c>
      <c r="Q78" s="22">
        <f t="shared" si="11"/>
        <v>0</v>
      </c>
      <c r="R78" s="22"/>
    </row>
    <row r="79" spans="2:18" x14ac:dyDescent="0.35">
      <c r="B79" s="6">
        <v>16</v>
      </c>
      <c r="C79" s="42">
        <f t="shared" si="13"/>
        <v>0.82079999999999997</v>
      </c>
      <c r="D79" s="42">
        <f>$C$36*0.00035*($C$35-B79)</f>
        <v>0.21</v>
      </c>
      <c r="E79" s="8">
        <f>C79+D79</f>
        <v>1.0307999999999999</v>
      </c>
      <c r="F79" s="42">
        <f t="shared" si="5"/>
        <v>8.1052631578947381</v>
      </c>
      <c r="G79" s="8">
        <f t="shared" si="6"/>
        <v>1.5647727272727272</v>
      </c>
      <c r="H79" s="43">
        <f t="shared" si="7"/>
        <v>0.11415525114155251</v>
      </c>
      <c r="I79" s="43">
        <f t="shared" si="8"/>
        <v>4.2051282051282053</v>
      </c>
      <c r="J79" s="25">
        <f>IF(E79-G79-H79&gt;0,E79-G79-H79,0)</f>
        <v>0</v>
      </c>
      <c r="K79" s="26">
        <f t="shared" si="4"/>
        <v>16</v>
      </c>
      <c r="L79" s="22">
        <f t="shared" si="14"/>
        <v>0.91664474885844749</v>
      </c>
      <c r="M79" s="22">
        <f t="shared" si="16"/>
        <v>0.70664474885844752</v>
      </c>
      <c r="N79" s="22">
        <f t="shared" si="16"/>
        <v>0.37096293067662922</v>
      </c>
      <c r="O79" s="22">
        <f t="shared" si="16"/>
        <v>0</v>
      </c>
      <c r="P79" s="22">
        <f t="shared" si="16"/>
        <v>0</v>
      </c>
      <c r="Q79" s="22">
        <f t="shared" si="11"/>
        <v>0</v>
      </c>
      <c r="R79" s="22"/>
    </row>
    <row r="80" spans="2:18" x14ac:dyDescent="0.35">
      <c r="B80" s="6">
        <v>17</v>
      </c>
      <c r="C80" s="42">
        <f t="shared" si="13"/>
        <v>0.73780000000000001</v>
      </c>
      <c r="D80" s="42">
        <f>$C$36*0.00035*($C$35-B80)</f>
        <v>0.1575</v>
      </c>
      <c r="E80" s="8">
        <f>C80+D80</f>
        <v>0.89529999999999998</v>
      </c>
      <c r="F80" s="42">
        <f t="shared" si="5"/>
        <v>8.5555555555555607</v>
      </c>
      <c r="G80" s="8">
        <f t="shared" si="6"/>
        <v>1.5763636363636364</v>
      </c>
      <c r="H80" s="43">
        <f t="shared" si="7"/>
        <v>0.11415525114155251</v>
      </c>
      <c r="I80" s="43">
        <f t="shared" si="8"/>
        <v>4.3157894736842106</v>
      </c>
      <c r="J80" s="25">
        <f>IF(E80-G80-H80&gt;0,E80-G80-H80,0)</f>
        <v>0</v>
      </c>
      <c r="K80" s="26">
        <f t="shared" si="4"/>
        <v>17</v>
      </c>
      <c r="L80" s="22">
        <f t="shared" si="14"/>
        <v>0.78114474885844754</v>
      </c>
      <c r="M80" s="22">
        <f t="shared" si="16"/>
        <v>0.62364474885844756</v>
      </c>
      <c r="N80" s="22">
        <f t="shared" si="16"/>
        <v>0.2704629306766293</v>
      </c>
      <c r="O80" s="22">
        <f t="shared" si="16"/>
        <v>0</v>
      </c>
      <c r="P80" s="22">
        <f t="shared" si="16"/>
        <v>0</v>
      </c>
      <c r="Q80" s="22">
        <f t="shared" si="11"/>
        <v>0</v>
      </c>
      <c r="R80" s="22"/>
    </row>
    <row r="81" spans="2:18" x14ac:dyDescent="0.35">
      <c r="B81" s="6">
        <v>18</v>
      </c>
      <c r="C81" s="42">
        <f t="shared" si="13"/>
        <v>0.65480000000000005</v>
      </c>
      <c r="D81" s="42">
        <f>$C$36*0.00035*($C$35-B81)</f>
        <v>0.105</v>
      </c>
      <c r="E81" s="8">
        <f>C81+D81</f>
        <v>0.75980000000000003</v>
      </c>
      <c r="F81" s="42">
        <f t="shared" si="5"/>
        <v>9.0588235294117574</v>
      </c>
      <c r="G81" s="8">
        <f t="shared" si="6"/>
        <v>1.5879545454545452</v>
      </c>
      <c r="H81" s="43">
        <f t="shared" si="7"/>
        <v>0.11415525114155251</v>
      </c>
      <c r="I81" s="43">
        <f t="shared" si="8"/>
        <v>4.4324324324324325</v>
      </c>
      <c r="J81" s="25">
        <f>IF(E81-G81-H81&gt;0,E81-G81-H81,0)</f>
        <v>0</v>
      </c>
      <c r="K81" s="26">
        <f t="shared" si="4"/>
        <v>18</v>
      </c>
      <c r="L81" s="22">
        <f t="shared" si="14"/>
        <v>0.64564474885844758</v>
      </c>
      <c r="M81" s="22">
        <f t="shared" si="16"/>
        <v>0.5406447488584476</v>
      </c>
      <c r="N81" s="22">
        <f t="shared" si="16"/>
        <v>0.16996293067662938</v>
      </c>
      <c r="O81" s="22">
        <f t="shared" si="16"/>
        <v>0</v>
      </c>
      <c r="P81" s="22">
        <f t="shared" si="16"/>
        <v>0</v>
      </c>
      <c r="Q81" s="22">
        <f t="shared" si="11"/>
        <v>0</v>
      </c>
      <c r="R81" s="22"/>
    </row>
    <row r="82" spans="2:18" x14ac:dyDescent="0.35">
      <c r="B82" s="6">
        <v>19</v>
      </c>
      <c r="C82" s="42">
        <f t="shared" si="13"/>
        <v>0.57179999999999997</v>
      </c>
      <c r="D82" s="42">
        <f>$C$36*0.00035*($C$35-B82)</f>
        <v>5.2499999999999998E-2</v>
      </c>
      <c r="E82" s="8">
        <f>C82+D82</f>
        <v>0.62429999999999997</v>
      </c>
      <c r="F82" s="42">
        <f t="shared" si="5"/>
        <v>9.6249999999999964</v>
      </c>
      <c r="G82" s="8">
        <f t="shared" si="6"/>
        <v>1.5995454545454544</v>
      </c>
      <c r="H82" s="43">
        <f t="shared" si="7"/>
        <v>0.11415525114155251</v>
      </c>
      <c r="I82" s="43">
        <f t="shared" si="8"/>
        <v>4.5555555555555562</v>
      </c>
      <c r="J82" s="25">
        <f>IF(E82-G82-H82&gt;0,E82-G82-H82,0)</f>
        <v>0</v>
      </c>
      <c r="K82" s="26">
        <f t="shared" si="4"/>
        <v>19</v>
      </c>
      <c r="L82" s="22">
        <f t="shared" si="14"/>
        <v>0.51014474885844741</v>
      </c>
      <c r="M82" s="22">
        <f t="shared" si="16"/>
        <v>0.45764474885844747</v>
      </c>
      <c r="N82" s="22">
        <f t="shared" si="16"/>
        <v>6.9462930676629231E-2</v>
      </c>
      <c r="O82" s="22">
        <f t="shared" si="16"/>
        <v>0</v>
      </c>
      <c r="P82" s="22">
        <f t="shared" si="16"/>
        <v>0</v>
      </c>
      <c r="Q82" s="22">
        <f t="shared" si="11"/>
        <v>0</v>
      </c>
      <c r="R82" s="22"/>
    </row>
    <row r="83" spans="2:18" x14ac:dyDescent="0.35">
      <c r="B83" s="6">
        <v>20</v>
      </c>
      <c r="C83" s="42">
        <f t="shared" si="13"/>
        <v>0.48880000000000001</v>
      </c>
      <c r="D83" s="42">
        <f>$C$36*0.00035*($C$35-B83)</f>
        <v>0</v>
      </c>
      <c r="E83" s="8">
        <f>C83+D83</f>
        <v>0.48880000000000001</v>
      </c>
      <c r="F83" s="42">
        <f t="shared" si="5"/>
        <v>10.266666666666669</v>
      </c>
      <c r="G83" s="8">
        <f t="shared" si="6"/>
        <v>1.6111363636363636</v>
      </c>
      <c r="H83" s="43">
        <f t="shared" si="7"/>
        <v>0.11415525114155251</v>
      </c>
      <c r="I83" s="43">
        <f t="shared" si="8"/>
        <v>4.6857142857142868</v>
      </c>
      <c r="J83" s="25">
        <f>IF(E83-G83-H83&gt;0,E83-G83-H83,0)</f>
        <v>0</v>
      </c>
      <c r="K83" s="26">
        <f t="shared" si="4"/>
        <v>20</v>
      </c>
      <c r="L83" s="22">
        <f t="shared" si="14"/>
        <v>0.37464474885844751</v>
      </c>
      <c r="M83" s="22">
        <f t="shared" si="16"/>
        <v>0.37464474885844751</v>
      </c>
      <c r="N83" s="22">
        <f t="shared" si="16"/>
        <v>0</v>
      </c>
      <c r="O83" s="22">
        <f t="shared" si="16"/>
        <v>0</v>
      </c>
      <c r="P83" s="22">
        <f t="shared" si="16"/>
        <v>0</v>
      </c>
      <c r="Q83" s="22">
        <f t="shared" si="11"/>
        <v>0</v>
      </c>
      <c r="R83" s="22"/>
    </row>
    <row r="84" spans="2:18" x14ac:dyDescent="0.35">
      <c r="J84"/>
      <c r="K84" s="11"/>
    </row>
  </sheetData>
  <hyperlinks>
    <hyperlink ref="R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Energiberäkning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</dc:creator>
  <cp:lastModifiedBy>surf</cp:lastModifiedBy>
  <dcterms:created xsi:type="dcterms:W3CDTF">2024-02-11T06:23:08Z</dcterms:created>
  <dcterms:modified xsi:type="dcterms:W3CDTF">2024-02-11T14:39:38Z</dcterms:modified>
</cp:coreProperties>
</file>